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110" yWindow="495" windowWidth="22995" windowHeight="10050" tabRatio="805" activeTab="21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15" sheetId="17" state="hidden" r:id="rId9"/>
    <sheet name="Item16" sheetId="18" state="hidden" r:id="rId10"/>
    <sheet name="Item17" sheetId="19" state="hidden" r:id="rId11"/>
    <sheet name="Item18" sheetId="20" state="hidden" r:id="rId12"/>
    <sheet name="Item19" sheetId="21" state="hidden" r:id="rId13"/>
    <sheet name="Item20" sheetId="22" state="hidden" r:id="rId14"/>
    <sheet name="Item21" sheetId="24" state="hidden" r:id="rId15"/>
    <sheet name="Item22" sheetId="25" state="hidden" r:id="rId16"/>
    <sheet name="Item23" sheetId="26" state="hidden" r:id="rId17"/>
    <sheet name="Item24" sheetId="27" state="hidden" r:id="rId18"/>
    <sheet name="Item25" sheetId="28" state="hidden" r:id="rId19"/>
    <sheet name="Item26" sheetId="29" state="hidden" r:id="rId20"/>
    <sheet name="Item27" sheetId="30" state="hidden" r:id="rId21"/>
    <sheet name="total" sheetId="23" r:id="rId22"/>
  </sheets>
  <definedNames>
    <definedName name="_xlnm.Print_Area" localSheetId="21">total!$A$1:$G$13</definedName>
    <definedName name="_xlnm.Print_Titles" localSheetId="21">total!$1:$2</definedName>
  </definedNames>
  <calcPr calcId="145621"/>
</workbook>
</file>

<file path=xl/calcChain.xml><?xml version="1.0" encoding="utf-8"?>
<calcChain xmlns="http://schemas.openxmlformats.org/spreadsheetml/2006/main">
  <c r="B20" i="9" l="1"/>
  <c r="F3" i="9" l="1"/>
  <c r="E3" i="9"/>
  <c r="I18" i="9"/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15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0"/>
  <c r="D20" i="10"/>
  <c r="B20" i="10"/>
  <c r="A20" i="10" s="1"/>
  <c r="F3" i="10"/>
  <c r="H20" i="10" s="1"/>
  <c r="G20" i="10" s="1"/>
  <c r="F20" i="9"/>
  <c r="D20" i="9"/>
  <c r="A20" i="9"/>
  <c r="H20" i="9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9"/>
  <c r="I14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7" i="9"/>
  <c r="I13" i="9"/>
  <c r="I9" i="9"/>
  <c r="I15" i="7"/>
  <c r="I10" i="9"/>
  <c r="I17" i="7"/>
  <c r="I3" i="9"/>
  <c r="I5" i="9"/>
  <c r="I11" i="9"/>
  <c r="I17" i="9"/>
  <c r="I15" i="6"/>
  <c r="I17" i="6"/>
  <c r="I16" i="6"/>
  <c r="I12" i="5"/>
  <c r="I17" i="5"/>
  <c r="I11" i="5"/>
  <c r="I16" i="5"/>
  <c r="I13" i="5"/>
  <c r="I15" i="5"/>
  <c r="I14" i="5"/>
  <c r="A20" i="4"/>
  <c r="C20" i="4" s="1"/>
  <c r="C20" i="1"/>
  <c r="I15" i="9" l="1"/>
  <c r="I14" i="6"/>
  <c r="I6" i="6"/>
  <c r="I12" i="6"/>
  <c r="I7" i="6"/>
  <c r="I3" i="6"/>
  <c r="I5" i="6"/>
  <c r="I12" i="9"/>
  <c r="I8" i="9"/>
  <c r="I8" i="5"/>
  <c r="I6" i="9"/>
  <c r="E20" i="24"/>
  <c r="E3" i="24" s="1"/>
  <c r="I8" i="20"/>
  <c r="I3" i="20"/>
  <c r="I7" i="20"/>
  <c r="I6" i="20"/>
  <c r="I4" i="20"/>
  <c r="I10" i="20"/>
  <c r="I9" i="20"/>
  <c r="I4" i="18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8" l="1"/>
  <c r="H22" i="8" s="1"/>
  <c r="H23" i="8" s="1"/>
  <c r="E20" i="6"/>
  <c r="H22" i="6" s="1"/>
  <c r="H23" i="6" s="1"/>
  <c r="H22" i="24"/>
  <c r="H23" i="24" s="1"/>
  <c r="E20" i="20"/>
  <c r="H22" i="20" s="1"/>
  <c r="H23" i="20" s="1"/>
  <c r="F20" i="23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0"/>
  <c r="H22" i="10" s="1"/>
  <c r="H23" i="10" s="1"/>
  <c r="F9" i="23"/>
  <c r="G9" i="23" s="1"/>
  <c r="E20" i="7"/>
  <c r="E20" i="4"/>
  <c r="E3" i="4" s="1"/>
  <c r="F4" i="23" s="1"/>
  <c r="G4" i="23" s="1"/>
  <c r="E20" i="17"/>
  <c r="E20" i="1"/>
  <c r="E3" i="6" l="1"/>
  <c r="F6" i="23" s="1"/>
  <c r="G6" i="23" s="1"/>
  <c r="E3" i="20"/>
  <c r="E3" i="8"/>
  <c r="F8" i="23" s="1"/>
  <c r="G8" i="23" s="1"/>
  <c r="F19" i="23"/>
  <c r="E3" i="21"/>
  <c r="E3" i="19"/>
  <c r="E3" i="10"/>
  <c r="F10" i="23" s="1"/>
  <c r="G10" i="23" s="1"/>
  <c r="H22" i="5"/>
  <c r="H23" i="5" s="1"/>
  <c r="H22" i="4"/>
  <c r="H23" i="4" s="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18" i="23" l="1"/>
  <c r="F17" i="23"/>
  <c r="F13" i="23"/>
</calcChain>
</file>

<file path=xl/sharedStrings.xml><?xml version="1.0" encoding="utf-8"?>
<sst xmlns="http://schemas.openxmlformats.org/spreadsheetml/2006/main" count="742" uniqueCount="172">
  <si>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</si>
  <si>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</si>
  <si>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</si>
  <si>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</si>
  <si>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</si>
  <si>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</si>
  <si>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</si>
  <si>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</si>
  <si>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</si>
  <si>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</si>
  <si>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</si>
  <si>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</si>
  <si>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</si>
  <si>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</si>
  <si>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</si>
  <si>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</si>
  <si>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</si>
  <si>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</si>
  <si>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</si>
  <si>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</si>
  <si>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</si>
  <si>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</si>
  <si>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</si>
  <si>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</si>
  <si>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</si>
  <si>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</si>
  <si>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</si>
  <si>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</si>
  <si>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</si>
  <si>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</si>
  <si>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</si>
  <si>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</si>
  <si>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</si>
  <si>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</si>
  <si>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</si>
  <si>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</si>
  <si>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</si>
  <si>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</si>
  <si>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</si>
  <si>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</si>
  <si>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</si>
  <si>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</si>
  <si>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</si>
  <si>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</si>
  <si>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</si>
  <si>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</si>
  <si>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</si>
  <si>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</si>
  <si>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</si>
  <si>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</si>
  <si>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</si>
  <si>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</si>
  <si>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</si>
  <si>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</si>
  <si>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</si>
  <si>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</si>
  <si>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</si>
  <si>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</si>
  <si>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</si>
  <si>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</si>
  <si>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</si>
  <si>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</si>
  <si>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</si>
  <si>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</si>
  <si>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</si>
  <si>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</si>
  <si>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</si>
  <si>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</si>
  <si>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</si>
  <si>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</si>
  <si>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</si>
  <si>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</si>
  <si>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</si>
  <si>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</si>
  <si>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</si>
  <si>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</si>
  <si>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</si>
  <si>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</si>
  <si>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</si>
  <si>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</si>
  <si>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</si>
  <si>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</si>
  <si>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</si>
  <si>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</si>
  <si>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</si>
  <si>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</si>
  <si>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</si>
  <si>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</si>
  <si>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</si>
  <si>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</si>
  <si>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</si>
  <si>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</si>
  <si>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</si>
  <si>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</si>
  <si>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</si>
  <si>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</si>
  <si>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</si>
  <si>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</si>
  <si>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>metro quadrado</t>
  </si>
  <si>
    <t>PE 560/2023 RM SOLUCOES INTEGRADAS LTDA</t>
  </si>
  <si>
    <t>PE 560/2023   ESB SERVICOS E COMERCIO LTDA</t>
  </si>
  <si>
    <t>PE 560/2023 CASA BLANCA</t>
  </si>
  <si>
    <t xml:space="preserve">PE 560/2023 ART FILM PELICULAS </t>
  </si>
  <si>
    <t>PE 90002/2024 NUBIA TEIXEIRA DA MAIA</t>
  </si>
  <si>
    <t>PE 90002/2024 SBR ENGENHARIA E CONSTRUCOES</t>
  </si>
  <si>
    <t>PE 90002/2024 LEONARDO GOMES</t>
  </si>
  <si>
    <t>PE 90002/2024 VETOR 7 LTDA</t>
  </si>
  <si>
    <t xml:space="preserve">PE 90002/2024  CHAMALEON LTDA </t>
  </si>
  <si>
    <t xml:space="preserve">PE 90002/2024 UNITY SOL E SERV </t>
  </si>
  <si>
    <t xml:space="preserve">PE 90002/2024 JHONNY ARMISTRONG </t>
  </si>
  <si>
    <t>PE 560/2023 DELDUQUE COMERCIO E SERVICOS</t>
  </si>
  <si>
    <t>PE 560/2023 ESQUADRIAS DE ALUMINIO BRUSQUE</t>
  </si>
  <si>
    <t>PE 560/2023 ART FILM PELICULAS COMERCIO</t>
  </si>
  <si>
    <t>PE 560/2023 JOAO FRANCISCO DUARTE</t>
  </si>
  <si>
    <t>PE 560/2023 CASA BLANCA EMPREENDIMENTOS</t>
  </si>
  <si>
    <t>PE 90001/2024 NEW PARTS COMERCIAL LTDA</t>
  </si>
  <si>
    <t>PE 90001/2024 DAZAPE COMERCIO &amp; SERVICOS</t>
  </si>
  <si>
    <t>PE 90001/2024 ESB SERVICOS E COMERCIO</t>
  </si>
  <si>
    <t>PE 90001/2024 LUTE COMERCIO E EMPREENDIMENTOS</t>
  </si>
  <si>
    <t>PE 68/2023 ESB SERVICOS E COMERCIO LTDA</t>
  </si>
  <si>
    <t>PE 68/2023 NOVAX</t>
  </si>
  <si>
    <t>PE 68/2023 MUNIZ LEMOS SERVICOS DE ENGENHA</t>
  </si>
  <si>
    <t>PE 68/2023 HABILITA COMERCIO E SERVICOS LTD</t>
  </si>
  <si>
    <t>PE 560/2023 RM SOLUCOES INTEGRADAS</t>
  </si>
  <si>
    <t>PE 90001/2024 NEW PARTS COMERCIAL</t>
  </si>
  <si>
    <t>PE90001/2024 - HOME COMERCIO E SERVICO LTDA</t>
  </si>
  <si>
    <t>PE 90001/2024 NM CONFECÇÕES</t>
  </si>
  <si>
    <t>PE 90001/2024 PADUA &amp; COSTA LTDA</t>
  </si>
  <si>
    <t xml:space="preserve">PE 90001/2024 NFM SILVA LTDA </t>
  </si>
  <si>
    <t>PE 560/2023 ART FILM PELICULAS COM</t>
  </si>
  <si>
    <t>PE 560/2023  CASA BLANCA EMPREEND</t>
  </si>
  <si>
    <t>PE 68/2023 ESB SERVIÇOS E COMÉRCIO LTDA</t>
  </si>
  <si>
    <t>PE90001/2024 - DIRCEU FERNANDES DOS SANTOS LTDA</t>
  </si>
  <si>
    <t xml:space="preserve">PE 90001/2024 BRANDAO COM, IND </t>
  </si>
  <si>
    <t>PE 560/2023 ESQUADRIAS DE ALUMINIO</t>
  </si>
  <si>
    <t>PE 560/2023  ESB SERVICOS E COMERCIO LTDA</t>
  </si>
  <si>
    <t>PE 560/2023  JOAO FRANCISCO DUARTE</t>
  </si>
  <si>
    <t>PE 560/2023  CASA BLANCA EMPREENDIMENTOS</t>
  </si>
  <si>
    <t>PE 560/2023  ART FILM PELICULAS COMERCIO E</t>
  </si>
  <si>
    <t>PE 560/2023  ESQUADRIAS DE ALUMINIO BRUSQUE</t>
  </si>
  <si>
    <t>PE 78/2023 HJ COMERCIO E SERVICOS LTDA</t>
  </si>
  <si>
    <t>PE 78/2023 NERI SOUZA PIRES</t>
  </si>
  <si>
    <t>PE 78/2023 F. T. DA SILVA BARBOSA</t>
  </si>
  <si>
    <t>PE 78/2023 CASCUDO POTIGUAR NEGOCIOS</t>
  </si>
  <si>
    <t>PE 78/2023 PERSI HOUSE, COMERCIO</t>
  </si>
  <si>
    <t>PE 78/2023 ALEXIA FERNANDA PEREIRA</t>
  </si>
  <si>
    <t>PE 78/2023 WT PELICULAS LTDA</t>
  </si>
  <si>
    <t>PE 78/2023 IMPERIO MANUTENCAO</t>
  </si>
  <si>
    <t>PE 78/2023 LEONARDO GOMES DE</t>
  </si>
  <si>
    <t>PE90004/2024  CELSO SCHNEIDER PIRES</t>
  </si>
  <si>
    <t>PE90004/2024   LUIS FERNANDO FERNANDES</t>
  </si>
  <si>
    <t>PE90004/2024  ALINE PEREIRA DOS SANTOS</t>
  </si>
  <si>
    <t>PE90004/2024  M V SANTOS GRAFICA E EDITORA</t>
  </si>
  <si>
    <t>PE90004/2024  DIEGO VIEIRA DA SILVA</t>
  </si>
  <si>
    <t>PE90004/2024 BRYAN DE ANDRADE</t>
  </si>
  <si>
    <t>Fornecimento e instalação de PERSIANAS verticais em tecido resinado de dimensões aproximadas de 2,5m x 2,5m (6,25m²), para instalação no Anexo II e III do TRE e Centro de Apoio Técnico (CAT).
1. lâminas de 90 mm, na cor Cairo (conforme a tonalidade adotada pelas outras unidades do Tribunal);
2. trilhos superiores em alumínio extrudado;
3. corrente de comando para girar 180o em PVC;
4. cordão de comando, em poliéster, na cor creme ou bege;
5. corrente de base, em PVC;
6. cabide e pingente em PVC;
7. balastro de 90 mm apropriado para instalação de corrente PVC;
8. pêndulo em PVC na cor branca.</t>
  </si>
  <si>
    <t>PE 78/2023 LEONARDO GOMES DE AGUIAR</t>
  </si>
  <si>
    <t>PE 78/2023 R&amp;L INDUSTRIA E COMERCIO</t>
  </si>
  <si>
    <t>PE 78/2023 DECORINTER INDUSTRIA</t>
  </si>
  <si>
    <t>PE 78/2023 PROMIX COMERCIO E SERVICOS</t>
  </si>
  <si>
    <t>PE 78/2023 LUARTI DECORACOES LTDA</t>
  </si>
  <si>
    <t>PE 78/2023 IJS CORTINAS INDUSTRIA E COMERCIO</t>
  </si>
  <si>
    <t>PE 78/2023  NERI SOUZA PIRES</t>
  </si>
  <si>
    <t>PE 78/2023  PERSIASUL PERSIANAS LTDA</t>
  </si>
  <si>
    <t>Fornecimento e instalação de VIDRO TEMPERADO de 06 mm em esquadrias existentes. Para instalação no Anexo II e III do TRE e Centro de Apoio Técnico (CAT). Está incluída a retirada/descarte adequado dos vidros avariados, além da retirada e reinstalação de ferragens e puxadores existentes, bem como todo o material necessário à instalação, quando necessário.</t>
  </si>
  <si>
    <t>Fornecimento e instalação de VIDRO LISO INCOLOR de 06 mm em esquadrias existentes. Para instalação nos prédios Anexo II do TRE e Centro de Apoio Técnico (CAT). Está incluída a retirada/descarte adequado dos vidros avariados, além da retirada e reinstalação de ferragens e puxadores existentes, bem como todo o material necessário à instalação, quando necessário.</t>
  </si>
  <si>
    <t>Fornecimento e instalação de VIDRO TEMPERADO de 8 mm em esquadrias existentes (box de banheiro) para instalação nos prédios Anexo II do TRE e Centro de Apoio Técnico (CAT). 
Está incluída a retirada/descarte adequado dos vidros avariados, além da retirada e reinstalação de ferragens e puxadores existentes, bem como todo o material necessário à instalação, quando necessário.</t>
  </si>
  <si>
    <t>Fornecimento e instalação de VIDRO TEMPERADO de 10 mm em esquadrias existentes. Para instalação nos prédios Anexo II do TRE e Centro de Apoio Técnico (CAT). 
Está incluída a retirada/descarte adequado dos vidros avariados, além da retirada e reinstalação de ferragens e puxadores existentes, bem como todo o material necessário à instalação, quando necessário.</t>
  </si>
  <si>
    <r>
      <t xml:space="preserve">Fornecimento e instalação de </t>
    </r>
    <r>
      <rPr>
        <b/>
        <sz val="10"/>
        <color rgb="FF000000"/>
        <rFont val="Calibri"/>
        <family val="2"/>
      </rPr>
      <t>VIDRO LAMINADO de 08 mm</t>
    </r>
    <r>
      <rPr>
        <sz val="10"/>
        <color rgb="FF000000"/>
        <rFont val="Calibri"/>
        <family val="2"/>
        <charset val="1"/>
      </rPr>
      <t xml:space="preserve"> em esquadrias existentes. Para instalação nos prédios Anexo II do TRE e Centro de Apoio Técnico (CAT). 
Está incluída a retirada/descarte adequado dos vidros avariados, além da retirada e reinstalação de ferragens e puxadores existentes, bem como todo o material necessário à instalação, quando necessário.</t>
    </r>
  </si>
  <si>
    <t>Fornecimento e instalação de VIDRO LAMINADO de 10 mm em esquadrias existentes. Para instalação no Anexo III do Tribunal Regional Eleitoral da Bahia.
Está incluída a retirada/descarte adequado dos vidros avariados, além da retirada e reinstalação de ferragens e puxadores existentes, bem como todo o material necessário à instalação, quando necessário.</t>
  </si>
  <si>
    <t>Fornecimento e instalação de PELÍCULAS de proteção solar do tipo profissional , na tonalidade fumê, referência G5 (5% de visibilidade), a serem instaladas nos vidros das esquadrias no Anexo II e III do TRE e Centro de Apoio Técnico (CAT). 
Está incluída a retirada/descarte adequado das películas.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</si>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</sst>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11" fillId="0" borderId="1" xfId="0" applyFont="1" applyBorder="1" applyProtection="1">
      <protection locked="0"/>
    </xf>
    <xf numFmtId="164" fontId="12" fillId="0" borderId="1" xfId="0" applyNumberFormat="1" applyFont="1" applyBorder="1" applyAlignment="1" applyProtection="1">
      <alignment horizontal="center" shrinkToFit="1"/>
      <protection locked="0"/>
    </xf>
    <xf numFmtId="0" fontId="11" fillId="0" borderId="1" xfId="0" applyFont="1" applyBorder="1" applyAlignment="1" applyProtection="1">
      <alignment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1" xfId="0" applyFont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1</v>
      </c>
      <c r="B3" s="37" t="s">
        <v>165</v>
      </c>
      <c r="C3" s="38" t="s">
        <v>98</v>
      </c>
      <c r="D3" s="39">
        <v>50</v>
      </c>
      <c r="E3" s="40">
        <f>IF(C20&lt;=25%,D20,MIN(E20:F20))</f>
        <v>199.57</v>
      </c>
      <c r="F3" s="40">
        <f>MIN(H3:H17)</f>
        <v>146</v>
      </c>
      <c r="G3" s="32" t="s">
        <v>99</v>
      </c>
      <c r="H3" s="33">
        <v>146</v>
      </c>
      <c r="I3" s="17">
        <f>IF(H3="","",(IF($C$20&lt;25%,"n/a",IF(H3&lt;=($D$20+$A$20),H3,"Descartado"))))</f>
        <v>146</v>
      </c>
    </row>
    <row r="4" spans="1:9" x14ac:dyDescent="0.25">
      <c r="A4" s="41"/>
      <c r="B4" s="37"/>
      <c r="C4" s="38"/>
      <c r="D4" s="39"/>
      <c r="E4" s="40"/>
      <c r="F4" s="40"/>
      <c r="G4" s="32" t="s">
        <v>100</v>
      </c>
      <c r="H4" s="33">
        <v>146.07</v>
      </c>
      <c r="I4" s="17">
        <f t="shared" ref="I4:I17" si="0">IF(H4="","",(IF($C$20&lt;25%,"n/a",IF(H4&lt;=($D$20+$A$20),H4,"Descartado"))))</f>
        <v>146.07</v>
      </c>
    </row>
    <row r="5" spans="1:9" x14ac:dyDescent="0.25">
      <c r="A5" s="41"/>
      <c r="B5" s="37"/>
      <c r="C5" s="38"/>
      <c r="D5" s="39"/>
      <c r="E5" s="40"/>
      <c r="F5" s="40"/>
      <c r="G5" s="34" t="s">
        <v>101</v>
      </c>
      <c r="H5" s="33">
        <v>289</v>
      </c>
      <c r="I5" s="17">
        <f t="shared" si="0"/>
        <v>289</v>
      </c>
    </row>
    <row r="6" spans="1:9" x14ac:dyDescent="0.25">
      <c r="A6" s="41"/>
      <c r="B6" s="37"/>
      <c r="C6" s="38"/>
      <c r="D6" s="39"/>
      <c r="E6" s="40"/>
      <c r="F6" s="40"/>
      <c r="G6" s="34" t="s">
        <v>102</v>
      </c>
      <c r="H6" s="33">
        <v>146</v>
      </c>
      <c r="I6" s="17">
        <f t="shared" si="0"/>
        <v>146</v>
      </c>
    </row>
    <row r="7" spans="1:9" x14ac:dyDescent="0.25">
      <c r="A7" s="41"/>
      <c r="B7" s="37"/>
      <c r="C7" s="38"/>
      <c r="D7" s="39"/>
      <c r="E7" s="40"/>
      <c r="F7" s="40"/>
      <c r="G7" s="34" t="s">
        <v>106</v>
      </c>
      <c r="H7" s="33">
        <v>174</v>
      </c>
      <c r="I7" s="17">
        <f t="shared" si="0"/>
        <v>174</v>
      </c>
    </row>
    <row r="8" spans="1:9" x14ac:dyDescent="0.25">
      <c r="A8" s="41"/>
      <c r="B8" s="37"/>
      <c r="C8" s="38"/>
      <c r="D8" s="39"/>
      <c r="E8" s="40"/>
      <c r="F8" s="40"/>
      <c r="G8" s="34" t="s">
        <v>107</v>
      </c>
      <c r="H8" s="33">
        <v>193</v>
      </c>
      <c r="I8" s="17">
        <f t="shared" si="0"/>
        <v>193</v>
      </c>
    </row>
    <row r="9" spans="1:9" x14ac:dyDescent="0.25">
      <c r="A9" s="41"/>
      <c r="B9" s="37"/>
      <c r="C9" s="38"/>
      <c r="D9" s="39"/>
      <c r="E9" s="40"/>
      <c r="F9" s="40"/>
      <c r="G9" s="34" t="s">
        <v>108</v>
      </c>
      <c r="H9" s="33">
        <v>261.06</v>
      </c>
      <c r="I9" s="17">
        <f t="shared" si="0"/>
        <v>261.06</v>
      </c>
    </row>
    <row r="10" spans="1:9" x14ac:dyDescent="0.25">
      <c r="A10" s="41"/>
      <c r="B10" s="37"/>
      <c r="C10" s="38"/>
      <c r="D10" s="39"/>
      <c r="E10" s="40"/>
      <c r="F10" s="40"/>
      <c r="G10" s="32" t="s">
        <v>109</v>
      </c>
      <c r="H10" s="33">
        <v>171</v>
      </c>
      <c r="I10" s="17">
        <f t="shared" si="0"/>
        <v>171</v>
      </c>
    </row>
    <row r="11" spans="1:9" x14ac:dyDescent="0.25">
      <c r="A11" s="41"/>
      <c r="B11" s="37"/>
      <c r="C11" s="38"/>
      <c r="D11" s="39"/>
      <c r="E11" s="40"/>
      <c r="F11" s="40"/>
      <c r="G11" s="32" t="s">
        <v>103</v>
      </c>
      <c r="H11" s="33">
        <v>300</v>
      </c>
      <c r="I11" s="17" t="str">
        <f t="shared" si="0"/>
        <v>Descartado</v>
      </c>
    </row>
    <row r="12" spans="1:9" x14ac:dyDescent="0.25">
      <c r="A12" s="41"/>
      <c r="B12" s="37"/>
      <c r="C12" s="38"/>
      <c r="D12" s="39"/>
      <c r="E12" s="40"/>
      <c r="F12" s="40"/>
      <c r="G12" s="32" t="s">
        <v>104</v>
      </c>
      <c r="H12" s="33">
        <v>270</v>
      </c>
      <c r="I12" s="17">
        <f t="shared" si="0"/>
        <v>270</v>
      </c>
    </row>
    <row r="13" spans="1:9" x14ac:dyDescent="0.25">
      <c r="A13" s="41"/>
      <c r="B13" s="37"/>
      <c r="C13" s="38"/>
      <c r="D13" s="39"/>
      <c r="E13" s="40"/>
      <c r="F13" s="40"/>
      <c r="G13" s="32" t="s">
        <v>105</v>
      </c>
      <c r="H13" s="33">
        <v>298</v>
      </c>
      <c r="I13" s="17" t="str">
        <f t="shared" si="0"/>
        <v>Descartado</v>
      </c>
    </row>
    <row r="14" spans="1:9" x14ac:dyDescent="0.25">
      <c r="A14" s="41"/>
      <c r="B14" s="37"/>
      <c r="C14" s="38"/>
      <c r="D14" s="39"/>
      <c r="E14" s="40"/>
      <c r="F14" s="40"/>
      <c r="G14" s="32" t="s">
        <v>104</v>
      </c>
      <c r="H14" s="33">
        <v>298.2</v>
      </c>
      <c r="I14" s="17" t="str">
        <f t="shared" si="0"/>
        <v>Descartado</v>
      </c>
    </row>
    <row r="15" spans="1:9" x14ac:dyDescent="0.25">
      <c r="A15" s="41"/>
      <c r="B15" s="37"/>
      <c r="C15" s="38"/>
      <c r="D15" s="39"/>
      <c r="E15" s="40"/>
      <c r="F15" s="40"/>
      <c r="G15" s="32" t="s">
        <v>105</v>
      </c>
      <c r="H15" s="33">
        <v>298</v>
      </c>
      <c r="I15" s="17" t="str">
        <f t="shared" si="0"/>
        <v>Descartado</v>
      </c>
    </row>
    <row r="16" spans="1:9" x14ac:dyDescent="0.25">
      <c r="A16" s="41"/>
      <c r="B16" s="37"/>
      <c r="C16" s="38"/>
      <c r="D16" s="39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37"/>
      <c r="C17" s="38"/>
      <c r="D17" s="39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67.07408846633507</v>
      </c>
      <c r="B20" s="8">
        <f>COUNT(H3:H17)</f>
        <v>13</v>
      </c>
      <c r="C20" s="9">
        <f>IF(B20&lt;2,"n/a",(A20/D20))</f>
        <v>0.29158843831819792</v>
      </c>
      <c r="D20" s="10">
        <f>IFERROR(ROUND(AVERAGE(H3:H17),2),"")</f>
        <v>230.03</v>
      </c>
      <c r="E20" s="15">
        <f>IFERROR(ROUND(IF(B20&lt;2,"n/a",(IF(C20&lt;=25%,"n/a",AVERAGE(I3:I17)))),2),"n/a")</f>
        <v>199.57</v>
      </c>
      <c r="F20" s="10">
        <f>IFERROR(ROUND(MEDIAN(H3:H17),2),"")</f>
        <v>261.06</v>
      </c>
      <c r="G20" s="11" t="str">
        <f>IFERROR(INDEX(G3:G17,MATCH(H20,H3:H17,0)),"")</f>
        <v>PE 560/2023 RM SOLUCOES INTEGRADAS LTDA</v>
      </c>
      <c r="H20" s="12">
        <f>F3</f>
        <v>146</v>
      </c>
    </row>
    <row r="22" spans="1:9" x14ac:dyDescent="0.25">
      <c r="G22" s="13" t="s">
        <v>20</v>
      </c>
      <c r="H22" s="14">
        <f>IF(C20&lt;=25%,D20,MIN(E20:F20))</f>
        <v>199.57</v>
      </c>
    </row>
    <row r="23" spans="1:9" x14ac:dyDescent="0.25">
      <c r="G23" s="13" t="s">
        <v>6</v>
      </c>
      <c r="H23" s="14">
        <f>ROUND(H22,2)*D3</f>
        <v>9978.5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16</v>
      </c>
      <c r="B3" s="43" t="s">
        <v>55</v>
      </c>
      <c r="C3" s="45" t="s">
        <v>7</v>
      </c>
      <c r="D3" s="45">
        <v>1000</v>
      </c>
      <c r="E3" s="40">
        <f>IF(C20&lt;=25%,D20,MIN(E20:F20))</f>
        <v>4.68</v>
      </c>
      <c r="F3" s="40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41"/>
      <c r="B4" s="44"/>
      <c r="C4" s="45"/>
      <c r="D4" s="45"/>
      <c r="E4" s="40"/>
      <c r="F4" s="40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41"/>
      <c r="B5" s="44"/>
      <c r="C5" s="45"/>
      <c r="D5" s="45"/>
      <c r="E5" s="40"/>
      <c r="F5" s="40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41"/>
      <c r="B6" s="44"/>
      <c r="C6" s="45"/>
      <c r="D6" s="45"/>
      <c r="E6" s="40"/>
      <c r="F6" s="40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41"/>
      <c r="B7" s="44"/>
      <c r="C7" s="45"/>
      <c r="D7" s="45"/>
      <c r="E7" s="40"/>
      <c r="F7" s="40"/>
      <c r="G7" s="5"/>
      <c r="H7" s="16"/>
      <c r="I7" s="17" t="str">
        <f t="shared" si="0"/>
        <v/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17</v>
      </c>
      <c r="B3" s="43" t="s">
        <v>56</v>
      </c>
      <c r="C3" s="45" t="s">
        <v>57</v>
      </c>
      <c r="D3" s="45">
        <v>100</v>
      </c>
      <c r="E3" s="40">
        <f>IF(C20&lt;=25%,D20,MIN(E20:F20))</f>
        <v>112.83</v>
      </c>
      <c r="F3" s="40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41"/>
      <c r="B4" s="44"/>
      <c r="C4" s="45"/>
      <c r="D4" s="45"/>
      <c r="E4" s="40"/>
      <c r="F4" s="40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41"/>
      <c r="B5" s="44"/>
      <c r="C5" s="45"/>
      <c r="D5" s="45"/>
      <c r="E5" s="40"/>
      <c r="F5" s="40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41"/>
      <c r="B6" s="44"/>
      <c r="C6" s="45"/>
      <c r="D6" s="45"/>
      <c r="E6" s="40"/>
      <c r="F6" s="40"/>
      <c r="G6" s="5"/>
      <c r="H6" s="16"/>
      <c r="I6" s="17" t="str">
        <f t="shared" si="0"/>
        <v/>
      </c>
    </row>
    <row r="7" spans="1:9" x14ac:dyDescent="0.25">
      <c r="A7" s="41"/>
      <c r="B7" s="44"/>
      <c r="C7" s="45"/>
      <c r="D7" s="45"/>
      <c r="E7" s="40"/>
      <c r="F7" s="40"/>
      <c r="G7" s="5"/>
      <c r="H7" s="16"/>
      <c r="I7" s="17" t="str">
        <f t="shared" si="0"/>
        <v/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18</v>
      </c>
      <c r="B3" s="43" t="s">
        <v>58</v>
      </c>
      <c r="C3" s="45" t="s">
        <v>59</v>
      </c>
      <c r="D3" s="45">
        <v>100</v>
      </c>
      <c r="E3" s="40">
        <f>IF(C20&lt;=25%,D20,MIN(E20:F20))</f>
        <v>83.03</v>
      </c>
      <c r="F3" s="40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41"/>
      <c r="B4" s="44"/>
      <c r="C4" s="45"/>
      <c r="D4" s="45"/>
      <c r="E4" s="40"/>
      <c r="F4" s="40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41"/>
      <c r="B5" s="44"/>
      <c r="C5" s="45"/>
      <c r="D5" s="45"/>
      <c r="E5" s="40"/>
      <c r="F5" s="40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41"/>
      <c r="B6" s="44"/>
      <c r="C6" s="45"/>
      <c r="D6" s="45"/>
      <c r="E6" s="40"/>
      <c r="F6" s="40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41"/>
      <c r="B7" s="44"/>
      <c r="C7" s="45"/>
      <c r="D7" s="45"/>
      <c r="E7" s="40"/>
      <c r="F7" s="40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19</v>
      </c>
      <c r="B3" s="43" t="s">
        <v>61</v>
      </c>
      <c r="C3" s="45" t="s">
        <v>7</v>
      </c>
      <c r="D3" s="45">
        <v>50</v>
      </c>
      <c r="E3" s="40">
        <f>IF(C20&lt;=25%,D20,MIN(E20:F20))</f>
        <v>68.7</v>
      </c>
      <c r="F3" s="40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41"/>
      <c r="B4" s="44"/>
      <c r="C4" s="45"/>
      <c r="D4" s="45"/>
      <c r="E4" s="40"/>
      <c r="F4" s="40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41"/>
      <c r="B5" s="44"/>
      <c r="C5" s="45"/>
      <c r="D5" s="45"/>
      <c r="E5" s="40"/>
      <c r="F5" s="40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41"/>
      <c r="B6" s="44"/>
      <c r="C6" s="45"/>
      <c r="D6" s="45"/>
      <c r="E6" s="40"/>
      <c r="F6" s="40"/>
      <c r="G6" s="5"/>
      <c r="H6" s="16"/>
      <c r="I6" s="17" t="str">
        <f t="shared" si="0"/>
        <v/>
      </c>
    </row>
    <row r="7" spans="1:9" x14ac:dyDescent="0.25">
      <c r="A7" s="41"/>
      <c r="B7" s="44"/>
      <c r="C7" s="45"/>
      <c r="D7" s="45"/>
      <c r="E7" s="40"/>
      <c r="F7" s="40"/>
      <c r="G7" s="5"/>
      <c r="H7" s="16"/>
      <c r="I7" s="17" t="str">
        <f t="shared" si="0"/>
        <v/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20</v>
      </c>
      <c r="B3" s="43" t="s">
        <v>62</v>
      </c>
      <c r="C3" s="45" t="s">
        <v>60</v>
      </c>
      <c r="D3" s="45">
        <v>50</v>
      </c>
      <c r="E3" s="40">
        <f>IF(C20&lt;=25%,D20,MIN(E20:F20))</f>
        <v>169.47</v>
      </c>
      <c r="F3" s="40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41"/>
      <c r="B4" s="44"/>
      <c r="C4" s="45"/>
      <c r="D4" s="45"/>
      <c r="E4" s="40"/>
      <c r="F4" s="40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41"/>
      <c r="B5" s="44"/>
      <c r="C5" s="45"/>
      <c r="D5" s="45"/>
      <c r="E5" s="40"/>
      <c r="F5" s="40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41"/>
      <c r="B6" s="44"/>
      <c r="C6" s="45"/>
      <c r="D6" s="45"/>
      <c r="E6" s="40"/>
      <c r="F6" s="40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41"/>
      <c r="B7" s="44"/>
      <c r="C7" s="45"/>
      <c r="D7" s="45"/>
      <c r="E7" s="40"/>
      <c r="F7" s="40"/>
      <c r="G7" s="5"/>
      <c r="H7" s="16"/>
      <c r="I7" s="17" t="str">
        <f t="shared" si="0"/>
        <v/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1">
        <v>21</v>
      </c>
      <c r="B3" s="43" t="s">
        <v>63</v>
      </c>
      <c r="C3" s="45" t="s">
        <v>60</v>
      </c>
      <c r="D3" s="45">
        <v>50</v>
      </c>
      <c r="E3" s="40">
        <f>IF(C20&lt;=25%,D20,MIN(E20:F20))</f>
        <v>203.92</v>
      </c>
      <c r="F3" s="40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41"/>
      <c r="B4" s="44"/>
      <c r="C4" s="45"/>
      <c r="D4" s="45"/>
      <c r="E4" s="40"/>
      <c r="F4" s="40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41"/>
      <c r="B5" s="44"/>
      <c r="C5" s="45"/>
      <c r="D5" s="45"/>
      <c r="E5" s="40"/>
      <c r="F5" s="40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41"/>
      <c r="B6" s="44"/>
      <c r="C6" s="45"/>
      <c r="D6" s="45"/>
      <c r="E6" s="40"/>
      <c r="F6" s="40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41"/>
      <c r="B7" s="44"/>
      <c r="C7" s="45"/>
      <c r="D7" s="45"/>
      <c r="E7" s="40"/>
      <c r="F7" s="40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1">
        <v>22</v>
      </c>
      <c r="B3" s="43" t="s">
        <v>64</v>
      </c>
      <c r="C3" s="45" t="s">
        <v>57</v>
      </c>
      <c r="D3" s="45">
        <v>100</v>
      </c>
      <c r="E3" s="40">
        <f>IF(C20&lt;=25%,D20,MIN(E20:F20))</f>
        <v>64.989999999999995</v>
      </c>
      <c r="F3" s="40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41"/>
      <c r="B4" s="44"/>
      <c r="C4" s="45"/>
      <c r="D4" s="45"/>
      <c r="E4" s="40"/>
      <c r="F4" s="40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41"/>
      <c r="B5" s="44"/>
      <c r="C5" s="45"/>
      <c r="D5" s="45"/>
      <c r="E5" s="40"/>
      <c r="F5" s="40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41"/>
      <c r="B6" s="44"/>
      <c r="C6" s="45"/>
      <c r="D6" s="45"/>
      <c r="E6" s="40"/>
      <c r="F6" s="40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41"/>
      <c r="B7" s="44"/>
      <c r="C7" s="45"/>
      <c r="D7" s="45"/>
      <c r="E7" s="40"/>
      <c r="F7" s="40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1">
        <v>23</v>
      </c>
      <c r="B3" s="43"/>
      <c r="C3" s="45" t="s">
        <v>7</v>
      </c>
      <c r="D3" s="45"/>
      <c r="E3" s="40">
        <f>IF(C20&lt;=25%,D20,MIN(E20:F20))</f>
        <v>0</v>
      </c>
      <c r="F3" s="40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41"/>
      <c r="B4" s="44"/>
      <c r="C4" s="45"/>
      <c r="D4" s="45"/>
      <c r="E4" s="40"/>
      <c r="F4" s="40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41"/>
      <c r="B5" s="44"/>
      <c r="C5" s="45"/>
      <c r="D5" s="45"/>
      <c r="E5" s="40"/>
      <c r="F5" s="40"/>
      <c r="G5" s="5"/>
      <c r="H5" s="16"/>
      <c r="I5" s="17" t="str">
        <f t="shared" si="0"/>
        <v/>
      </c>
    </row>
    <row r="6" spans="1:9" x14ac:dyDescent="0.25">
      <c r="A6" s="41"/>
      <c r="B6" s="44"/>
      <c r="C6" s="45"/>
      <c r="D6" s="45"/>
      <c r="E6" s="40"/>
      <c r="F6" s="40"/>
      <c r="G6" s="5"/>
      <c r="H6" s="16"/>
      <c r="I6" s="17" t="str">
        <f t="shared" si="0"/>
        <v/>
      </c>
    </row>
    <row r="7" spans="1:9" x14ac:dyDescent="0.25">
      <c r="A7" s="41"/>
      <c r="B7" s="44"/>
      <c r="C7" s="45"/>
      <c r="D7" s="45"/>
      <c r="E7" s="40"/>
      <c r="F7" s="40"/>
      <c r="G7" s="5"/>
      <c r="H7" s="16"/>
      <c r="I7" s="17" t="str">
        <f t="shared" si="0"/>
        <v/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5" t="s">
        <v>19</v>
      </c>
      <c r="H19" s="35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1">
        <v>24</v>
      </c>
      <c r="B3" s="43"/>
      <c r="C3" s="45" t="s">
        <v>7</v>
      </c>
      <c r="D3" s="45"/>
      <c r="E3" s="40">
        <f>IF(C20&lt;=25%,D20,MIN(E20:F20))</f>
        <v>0</v>
      </c>
      <c r="F3" s="40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41"/>
      <c r="B4" s="44"/>
      <c r="C4" s="45"/>
      <c r="D4" s="45"/>
      <c r="E4" s="40"/>
      <c r="F4" s="40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41"/>
      <c r="B5" s="44"/>
      <c r="C5" s="45"/>
      <c r="D5" s="45"/>
      <c r="E5" s="40"/>
      <c r="F5" s="40"/>
      <c r="G5" s="5"/>
      <c r="H5" s="16"/>
      <c r="I5" s="17" t="str">
        <f t="shared" si="0"/>
        <v/>
      </c>
    </row>
    <row r="6" spans="1:9" x14ac:dyDescent="0.25">
      <c r="A6" s="41"/>
      <c r="B6" s="44"/>
      <c r="C6" s="45"/>
      <c r="D6" s="45"/>
      <c r="E6" s="40"/>
      <c r="F6" s="40"/>
      <c r="G6" s="5"/>
      <c r="H6" s="16"/>
      <c r="I6" s="17" t="str">
        <f t="shared" si="0"/>
        <v/>
      </c>
    </row>
    <row r="7" spans="1:9" x14ac:dyDescent="0.25">
      <c r="A7" s="41"/>
      <c r="B7" s="44"/>
      <c r="C7" s="45"/>
      <c r="D7" s="45"/>
      <c r="E7" s="40"/>
      <c r="F7" s="40"/>
      <c r="G7" s="5"/>
      <c r="H7" s="16"/>
      <c r="I7" s="17" t="str">
        <f t="shared" si="0"/>
        <v/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5" t="s">
        <v>19</v>
      </c>
      <c r="H19" s="35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1">
        <v>25</v>
      </c>
      <c r="B3" s="43"/>
      <c r="C3" s="45" t="s">
        <v>7</v>
      </c>
      <c r="D3" s="45"/>
      <c r="E3" s="40">
        <f>IF(C20&lt;=25%,D20,MIN(E20:F20))</f>
        <v>0</v>
      </c>
      <c r="F3" s="40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41"/>
      <c r="B4" s="44"/>
      <c r="C4" s="45"/>
      <c r="D4" s="45"/>
      <c r="E4" s="40"/>
      <c r="F4" s="40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41"/>
      <c r="B5" s="44"/>
      <c r="C5" s="45"/>
      <c r="D5" s="45"/>
      <c r="E5" s="40"/>
      <c r="F5" s="40"/>
      <c r="G5" s="5"/>
      <c r="H5" s="16"/>
      <c r="I5" s="17" t="str">
        <f t="shared" si="0"/>
        <v/>
      </c>
    </row>
    <row r="6" spans="1:9" x14ac:dyDescent="0.25">
      <c r="A6" s="41"/>
      <c r="B6" s="44"/>
      <c r="C6" s="45"/>
      <c r="D6" s="45"/>
      <c r="E6" s="40"/>
      <c r="F6" s="40"/>
      <c r="G6" s="5"/>
      <c r="H6" s="16"/>
      <c r="I6" s="17" t="str">
        <f t="shared" si="0"/>
        <v/>
      </c>
    </row>
    <row r="7" spans="1:9" x14ac:dyDescent="0.25">
      <c r="A7" s="41"/>
      <c r="B7" s="44"/>
      <c r="C7" s="45"/>
      <c r="D7" s="45"/>
      <c r="E7" s="40"/>
      <c r="F7" s="40"/>
      <c r="G7" s="5"/>
      <c r="H7" s="16"/>
      <c r="I7" s="17" t="str">
        <f t="shared" si="0"/>
        <v/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5" t="s">
        <v>19</v>
      </c>
      <c r="H19" s="35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2</v>
      </c>
      <c r="B3" s="37" t="s">
        <v>164</v>
      </c>
      <c r="C3" s="38" t="s">
        <v>98</v>
      </c>
      <c r="D3" s="39">
        <v>200</v>
      </c>
      <c r="E3" s="40">
        <f>IF(C20&lt;=25%,D20,MIN(E20:F20))</f>
        <v>282.57</v>
      </c>
      <c r="F3" s="40">
        <f>MIN(H3:H17)</f>
        <v>239</v>
      </c>
      <c r="G3" s="32" t="s">
        <v>99</v>
      </c>
      <c r="H3" s="33">
        <v>239</v>
      </c>
      <c r="I3" s="17">
        <f>IF(H3="","",(IF($C$20&lt;25%,"n/a",IF(H3&lt;=($D$20+$A$20),H3,"Descartado"))))</f>
        <v>239</v>
      </c>
    </row>
    <row r="4" spans="1:9" x14ac:dyDescent="0.25">
      <c r="A4" s="41"/>
      <c r="B4" s="37"/>
      <c r="C4" s="38"/>
      <c r="D4" s="39"/>
      <c r="E4" s="40"/>
      <c r="F4" s="40"/>
      <c r="G4" s="32" t="s">
        <v>110</v>
      </c>
      <c r="H4" s="33">
        <v>240</v>
      </c>
      <c r="I4" s="17">
        <f t="shared" ref="I4:I17" si="0">IF(H4="","",(IF($C$20&lt;25%,"n/a",IF(H4&lt;=($D$20+$A$20),H4,"Descartado"))))</f>
        <v>240</v>
      </c>
    </row>
    <row r="5" spans="1:9" x14ac:dyDescent="0.25">
      <c r="A5" s="41"/>
      <c r="B5" s="37"/>
      <c r="C5" s="38"/>
      <c r="D5" s="39"/>
      <c r="E5" s="40"/>
      <c r="F5" s="40"/>
      <c r="G5" s="32" t="s">
        <v>111</v>
      </c>
      <c r="H5" s="33">
        <v>245.2</v>
      </c>
      <c r="I5" s="17">
        <f t="shared" si="0"/>
        <v>245.2</v>
      </c>
    </row>
    <row r="6" spans="1:9" x14ac:dyDescent="0.25">
      <c r="A6" s="41"/>
      <c r="B6" s="37"/>
      <c r="C6" s="38"/>
      <c r="D6" s="39"/>
      <c r="E6" s="40"/>
      <c r="F6" s="40"/>
      <c r="G6" s="32" t="s">
        <v>112</v>
      </c>
      <c r="H6" s="33">
        <v>245</v>
      </c>
      <c r="I6" s="17">
        <f t="shared" si="0"/>
        <v>245</v>
      </c>
    </row>
    <row r="7" spans="1:9" x14ac:dyDescent="0.25">
      <c r="A7" s="41"/>
      <c r="B7" s="37"/>
      <c r="C7" s="38"/>
      <c r="D7" s="39"/>
      <c r="E7" s="40"/>
      <c r="F7" s="40"/>
      <c r="G7" s="32" t="s">
        <v>113</v>
      </c>
      <c r="H7" s="33">
        <v>245.24</v>
      </c>
      <c r="I7" s="17">
        <f t="shared" si="0"/>
        <v>245.24</v>
      </c>
    </row>
    <row r="8" spans="1:9" x14ac:dyDescent="0.25">
      <c r="A8" s="41"/>
      <c r="B8" s="37"/>
      <c r="C8" s="38"/>
      <c r="D8" s="39"/>
      <c r="E8" s="40"/>
      <c r="F8" s="40"/>
      <c r="G8" s="32" t="s">
        <v>114</v>
      </c>
      <c r="H8" s="33">
        <v>900</v>
      </c>
      <c r="I8" s="17" t="str">
        <f t="shared" si="0"/>
        <v>Descartado</v>
      </c>
    </row>
    <row r="9" spans="1:9" x14ac:dyDescent="0.25">
      <c r="A9" s="41"/>
      <c r="B9" s="37"/>
      <c r="C9" s="38"/>
      <c r="D9" s="39"/>
      <c r="E9" s="40"/>
      <c r="F9" s="40"/>
      <c r="G9" s="32" t="s">
        <v>115</v>
      </c>
      <c r="H9" s="33">
        <v>319.89999999999998</v>
      </c>
      <c r="I9" s="17">
        <f t="shared" si="0"/>
        <v>319.89999999999998</v>
      </c>
    </row>
    <row r="10" spans="1:9" x14ac:dyDescent="0.25">
      <c r="A10" s="41"/>
      <c r="B10" s="37"/>
      <c r="C10" s="38"/>
      <c r="D10" s="39"/>
      <c r="E10" s="40"/>
      <c r="F10" s="40"/>
      <c r="G10" s="32" t="s">
        <v>116</v>
      </c>
      <c r="H10" s="33">
        <v>320</v>
      </c>
      <c r="I10" s="17">
        <f t="shared" si="0"/>
        <v>320</v>
      </c>
    </row>
    <row r="11" spans="1:9" x14ac:dyDescent="0.25">
      <c r="A11" s="41"/>
      <c r="B11" s="37"/>
      <c r="C11" s="38"/>
      <c r="D11" s="39"/>
      <c r="E11" s="40"/>
      <c r="F11" s="40"/>
      <c r="G11" s="32" t="s">
        <v>117</v>
      </c>
      <c r="H11" s="33">
        <v>374.24</v>
      </c>
      <c r="I11" s="17">
        <f t="shared" si="0"/>
        <v>374.24</v>
      </c>
    </row>
    <row r="12" spans="1:9" x14ac:dyDescent="0.25">
      <c r="A12" s="41"/>
      <c r="B12" s="37"/>
      <c r="C12" s="38"/>
      <c r="D12" s="39"/>
      <c r="E12" s="40"/>
      <c r="F12" s="40"/>
      <c r="G12" s="32" t="s">
        <v>118</v>
      </c>
      <c r="H12" s="33">
        <v>374.24</v>
      </c>
      <c r="I12" s="17">
        <f t="shared" si="0"/>
        <v>374.24</v>
      </c>
    </row>
    <row r="13" spans="1:9" x14ac:dyDescent="0.25">
      <c r="A13" s="41"/>
      <c r="B13" s="37"/>
      <c r="C13" s="38"/>
      <c r="D13" s="39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37"/>
      <c r="C14" s="38"/>
      <c r="D14" s="39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37"/>
      <c r="C15" s="38"/>
      <c r="D15" s="39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37"/>
      <c r="C16" s="38"/>
      <c r="D16" s="39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37"/>
      <c r="C17" s="38"/>
      <c r="D17" s="39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200.79953175022882</v>
      </c>
      <c r="B20" s="8">
        <f>COUNT(H3:H17)</f>
        <v>10</v>
      </c>
      <c r="C20" s="9">
        <f>IF(B20&lt;2,"n/a",(A20/D20))</f>
        <v>0.57325434438229084</v>
      </c>
      <c r="D20" s="10">
        <f>IFERROR(ROUND(AVERAGE(H3:H17),2),"")</f>
        <v>350.28</v>
      </c>
      <c r="E20" s="15">
        <f>IFERROR(ROUND(IF(B20&lt;2,"n/a",(IF(C20&lt;=25%,"n/a",AVERAGE(I3:I17)))),2),"n/a")</f>
        <v>289.2</v>
      </c>
      <c r="F20" s="10">
        <f>IFERROR(ROUND(MEDIAN(H3:H17),2),"")</f>
        <v>282.57</v>
      </c>
      <c r="G20" s="11" t="str">
        <f>IFERROR(INDEX(G3:G17,MATCH(H20,H3:H17,0)),"")</f>
        <v>PE 560/2023 RM SOLUCOES INTEGRADAS LTDA</v>
      </c>
      <c r="H20" s="12">
        <f>F3</f>
        <v>239</v>
      </c>
    </row>
    <row r="22" spans="1:9" x14ac:dyDescent="0.25">
      <c r="G22" s="13" t="s">
        <v>20</v>
      </c>
      <c r="H22" s="14">
        <f>IF(C20&lt;=25%,D20,MIN(E20:F20))</f>
        <v>282.57</v>
      </c>
    </row>
    <row r="23" spans="1:9" x14ac:dyDescent="0.25">
      <c r="G23" s="13" t="s">
        <v>6</v>
      </c>
      <c r="H23" s="14">
        <f>ROUND(H22,2)*D3</f>
        <v>56514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1">
        <v>26</v>
      </c>
      <c r="B3" s="43" t="s">
        <v>34</v>
      </c>
      <c r="C3" s="45" t="s">
        <v>7</v>
      </c>
      <c r="D3" s="45">
        <v>4</v>
      </c>
      <c r="E3" s="40">
        <f>IF(C20&lt;=25%,D20,MIN(E20:F20))</f>
        <v>314.5</v>
      </c>
      <c r="F3" s="40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41"/>
      <c r="B4" s="44"/>
      <c r="C4" s="45"/>
      <c r="D4" s="45"/>
      <c r="E4" s="40"/>
      <c r="F4" s="40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41"/>
      <c r="B5" s="44"/>
      <c r="C5" s="45"/>
      <c r="D5" s="45"/>
      <c r="E5" s="40"/>
      <c r="F5" s="40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41"/>
      <c r="B6" s="44"/>
      <c r="C6" s="45"/>
      <c r="D6" s="45"/>
      <c r="E6" s="40"/>
      <c r="F6" s="40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41"/>
      <c r="B7" s="44"/>
      <c r="C7" s="45"/>
      <c r="D7" s="45"/>
      <c r="E7" s="40"/>
      <c r="F7" s="40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41"/>
      <c r="B8" s="44"/>
      <c r="C8" s="45"/>
      <c r="D8" s="45"/>
      <c r="E8" s="40"/>
      <c r="F8" s="40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41"/>
      <c r="B9" s="44"/>
      <c r="C9" s="45"/>
      <c r="D9" s="45"/>
      <c r="E9" s="40"/>
      <c r="F9" s="40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41"/>
      <c r="B10" s="44"/>
      <c r="C10" s="45"/>
      <c r="D10" s="45"/>
      <c r="E10" s="40"/>
      <c r="F10" s="40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41"/>
      <c r="B11" s="44"/>
      <c r="C11" s="45"/>
      <c r="D11" s="45"/>
      <c r="E11" s="40"/>
      <c r="F11" s="40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41"/>
      <c r="B12" s="44"/>
      <c r="C12" s="45"/>
      <c r="D12" s="45"/>
      <c r="E12" s="40"/>
      <c r="F12" s="40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41"/>
      <c r="B13" s="44"/>
      <c r="C13" s="45"/>
      <c r="D13" s="45"/>
      <c r="E13" s="40"/>
      <c r="F13" s="40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41"/>
      <c r="B14" s="44"/>
      <c r="C14" s="45"/>
      <c r="D14" s="45"/>
      <c r="E14" s="40"/>
      <c r="F14" s="40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1">
        <v>27</v>
      </c>
      <c r="B3" s="43" t="s">
        <v>35</v>
      </c>
      <c r="C3" s="45" t="s">
        <v>7</v>
      </c>
      <c r="D3" s="45">
        <v>2</v>
      </c>
      <c r="E3" s="40">
        <f>IF(C20&lt;=25%,D20,MIN(E20:F20))</f>
        <v>2336.66</v>
      </c>
      <c r="F3" s="40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41"/>
      <c r="B4" s="44"/>
      <c r="C4" s="45"/>
      <c r="D4" s="45"/>
      <c r="E4" s="40"/>
      <c r="F4" s="40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41"/>
      <c r="B5" s="44"/>
      <c r="C5" s="45"/>
      <c r="D5" s="45"/>
      <c r="E5" s="40"/>
      <c r="F5" s="40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41"/>
      <c r="B6" s="44"/>
      <c r="C6" s="45"/>
      <c r="D6" s="45"/>
      <c r="E6" s="40"/>
      <c r="F6" s="40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41"/>
      <c r="B7" s="44"/>
      <c r="C7" s="45"/>
      <c r="D7" s="45"/>
      <c r="E7" s="40"/>
      <c r="F7" s="40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41"/>
      <c r="B8" s="44"/>
      <c r="C8" s="45"/>
      <c r="D8" s="45"/>
      <c r="E8" s="40"/>
      <c r="F8" s="40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41"/>
      <c r="B9" s="44"/>
      <c r="C9" s="45"/>
      <c r="D9" s="45"/>
      <c r="E9" s="40"/>
      <c r="F9" s="40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41"/>
      <c r="B10" s="44"/>
      <c r="C10" s="45"/>
      <c r="D10" s="45"/>
      <c r="E10" s="40"/>
      <c r="F10" s="40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41"/>
      <c r="B11" s="44"/>
      <c r="C11" s="45"/>
      <c r="D11" s="45"/>
      <c r="E11" s="40"/>
      <c r="F11" s="40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46" t="s">
        <v>0</v>
      </c>
      <c r="B1" s="46"/>
      <c r="C1" s="46"/>
      <c r="D1" s="46"/>
      <c r="E1" s="46"/>
      <c r="F1" s="46"/>
      <c r="G1" s="46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150" x14ac:dyDescent="0.25">
      <c r="A3" s="25" t="s">
        <v>171</v>
      </c>
      <c r="B3" s="25">
        <f>Item1!A3</f>
        <v>1</v>
      </c>
      <c r="C3" s="27" t="str">
        <f>Item1!B3</f>
        <v>Fornecimento e instalação de VIDRO LISO INCOLOR de 06 mm em esquadrias existentes. Para instalação nos prédios Anexo II do TRE e Centro de Apoio Técnico (CAT). Está incluída a retirada/descarte adequado dos vidros avariados, além da retirada e reinstalação de ferragens e puxadores existentes, bem como todo o material necessário à instalação, quando necessário.</v>
      </c>
      <c r="D3" s="25" t="str">
        <f>Item1!C3</f>
        <v>metro quadrado</v>
      </c>
      <c r="E3" s="25">
        <f>Item1!D3</f>
        <v>50</v>
      </c>
      <c r="F3" s="26">
        <f>Item1!E3</f>
        <v>199.57</v>
      </c>
      <c r="G3" s="26">
        <f>ROUND((E3*F3),2)</f>
        <v>9978.5</v>
      </c>
    </row>
    <row r="4" spans="1:7" ht="150" x14ac:dyDescent="0.25">
      <c r="A4" s="25" t="s">
        <v>171</v>
      </c>
      <c r="B4" s="25">
        <f>Item2!A3</f>
        <v>2</v>
      </c>
      <c r="C4" s="27" t="str">
        <f>Item2!B3</f>
        <v>Fornecimento e instalação de VIDRO TEMPERADO de 06 mm em esquadrias existentes. Para instalação no Anexo II e III do TRE e Centro de Apoio Técnico (CAT). Está incluída a retirada/descarte adequado dos vidros avariados, além da retirada e reinstalação de ferragens e puxadores existentes, bem como todo o material necessário à instalação, quando necessário.</v>
      </c>
      <c r="D4" s="25" t="str">
        <f>Item2!C3</f>
        <v>metro quadrado</v>
      </c>
      <c r="E4" s="25">
        <f>Item2!D3</f>
        <v>200</v>
      </c>
      <c r="F4" s="26">
        <f>Item2!E3</f>
        <v>282.57</v>
      </c>
      <c r="G4" s="26">
        <f t="shared" ref="G4:G10" si="0">ROUND((E4*F4),2)</f>
        <v>56514</v>
      </c>
    </row>
    <row r="5" spans="1:7" ht="165" x14ac:dyDescent="0.25">
      <c r="A5" s="25" t="s">
        <v>171</v>
      </c>
      <c r="B5" s="25">
        <f>Item3!A3</f>
        <v>3</v>
      </c>
      <c r="C5" s="27" t="str">
        <f>Item3!B3</f>
        <v>Fornecimento e instalação de VIDRO TEMPERADO de 8 mm em esquadrias existentes (box de banheiro) para instalação nos prédios Anexo II do TRE e Centro de Apoio Técnico (CAT). 
Está incluída a retirada/descarte adequado dos vidros avariados, além da retirada e reinstalação de ferragens e puxadores existentes, bem como todo o material necessário à instalação, quando necessário.</v>
      </c>
      <c r="D5" s="25" t="str">
        <f>Item3!C3</f>
        <v>metro quadrado</v>
      </c>
      <c r="E5" s="25">
        <f>Item3!D3</f>
        <v>30</v>
      </c>
      <c r="F5" s="26">
        <f>Item3!E3</f>
        <v>265.26</v>
      </c>
      <c r="G5" s="26">
        <f t="shared" si="0"/>
        <v>7957.8</v>
      </c>
    </row>
    <row r="6" spans="1:7" ht="165" x14ac:dyDescent="0.25">
      <c r="A6" s="25" t="s">
        <v>171</v>
      </c>
      <c r="B6" s="25">
        <f>Item4!A3</f>
        <v>4</v>
      </c>
      <c r="C6" s="27" t="str">
        <f>Item4!B3</f>
        <v>Fornecimento e instalação de VIDRO TEMPERADO de 10 mm em esquadrias existentes. Para instalação nos prédios Anexo II do TRE e Centro de Apoio Técnico (CAT). 
Está incluída a retirada/descarte adequado dos vidros avariados, além da retirada e reinstalação de ferragens e puxadores existentes, bem como todo o material necessário à instalação, quando necessário.</v>
      </c>
      <c r="D6" s="25" t="str">
        <f>Item4!C3</f>
        <v>metro quadrado</v>
      </c>
      <c r="E6" s="25">
        <f>Item4!D3</f>
        <v>50</v>
      </c>
      <c r="F6" s="26">
        <f>Item4!E3</f>
        <v>586.80999999999995</v>
      </c>
      <c r="G6" s="26">
        <f t="shared" si="0"/>
        <v>29340.5</v>
      </c>
    </row>
    <row r="7" spans="1:7" ht="165" x14ac:dyDescent="0.25">
      <c r="A7" s="25" t="s">
        <v>171</v>
      </c>
      <c r="B7" s="25">
        <f>Item5!A3</f>
        <v>5</v>
      </c>
      <c r="C7" s="27" t="str">
        <f>Item5!B3</f>
        <v>Fornecimento e instalação de VIDRO LAMINADO de 08 mm em esquadrias existentes. Para instalação nos prédios Anexo II do TRE e Centro de Apoio Técnico (CAT). 
Está incluída a retirada/descarte adequado dos vidros avariados, além da retirada e reinstalação de ferragens e puxadores existentes, bem como todo o material necessário à instalação, quando necessário.</v>
      </c>
      <c r="D7" s="25" t="str">
        <f>Item5!C3</f>
        <v>metro quadrado</v>
      </c>
      <c r="E7" s="25">
        <f>Item5!D3</f>
        <v>180</v>
      </c>
      <c r="F7" s="26">
        <f>Item5!E3</f>
        <v>389.72</v>
      </c>
      <c r="G7" s="26">
        <f t="shared" si="0"/>
        <v>70149.600000000006</v>
      </c>
    </row>
    <row r="8" spans="1:7" ht="150" x14ac:dyDescent="0.25">
      <c r="A8" s="25" t="s">
        <v>171</v>
      </c>
      <c r="B8" s="25">
        <f>Item6!A3</f>
        <v>6</v>
      </c>
      <c r="C8" s="27" t="str">
        <f>Item6!B3</f>
        <v>Fornecimento e instalação de VIDRO LAMINADO de 10 mm em esquadrias existentes. Para instalação no Anexo III do Tribunal Regional Eleitoral da Bahia.
Está incluída a retirada/descarte adequado dos vidros avariados, além da retirada e reinstalação de ferragens e puxadores existentes, bem como todo o material necessário à instalação, quando necessário.</v>
      </c>
      <c r="D8" s="25" t="str">
        <f>Item6!C3</f>
        <v>metro quadrado</v>
      </c>
      <c r="E8" s="25">
        <f>Item6!D3</f>
        <v>150</v>
      </c>
      <c r="F8" s="26">
        <f>Item6!E3</f>
        <v>950.33</v>
      </c>
      <c r="G8" s="26">
        <f t="shared" si="0"/>
        <v>142549.5</v>
      </c>
    </row>
    <row r="9" spans="1:7" ht="135" x14ac:dyDescent="0.25">
      <c r="A9" s="25" t="s">
        <v>171</v>
      </c>
      <c r="B9" s="25">
        <f>Item7!A3</f>
        <v>7</v>
      </c>
      <c r="C9" s="27" t="str">
        <f>Item7!B3</f>
        <v>Fornecimento e instalação de PELÍCULAS de proteção solar do tipo profissional , na tonalidade fumê, referência G5 (5% de visibilidade), a serem instaladas nos vidros das esquadrias no Anexo II e III do TRE e Centro de Apoio Técnico (CAT). 
Está incluída a retirada/descarte adequado das películas.</v>
      </c>
      <c r="D9" s="25" t="str">
        <f>Item7!C3</f>
        <v>metro quadrado</v>
      </c>
      <c r="E9" s="25">
        <f>Item7!D3</f>
        <v>2900</v>
      </c>
      <c r="F9" s="26">
        <f>Item7!E3</f>
        <v>75.72</v>
      </c>
      <c r="G9" s="26">
        <f t="shared" si="0"/>
        <v>219588</v>
      </c>
    </row>
    <row r="10" spans="1:7" ht="300" x14ac:dyDescent="0.25">
      <c r="A10" s="25" t="s">
        <v>171</v>
      </c>
      <c r="B10" s="25">
        <f>Item8!A3</f>
        <v>8</v>
      </c>
      <c r="C10" s="27" t="str">
        <f>Item8!B3</f>
        <v>Fornecimento e instalação de PERSIANAS verticais em tecido resinado de dimensões aproximadas de 2,5m x 2,5m (6,25m²), para instalação no Anexo II e III do TRE e Centro de Apoio Técnico (CAT).
1. lâminas de 90 mm, na cor Cairo (conforme a tonalidade adotada pelas outras unidades do Tribunal);
2. trilhos superiores em alumínio extrudado;
3. corrente de comando para girar 180o em PVC;
4. cordão de comando, em poliéster, na cor creme ou bege;
5. corrente de base, em PVC;
6. cabide e pingente em PVC;
7. balastro de 90 mm apropriado para instalação de corrente PVC;
8. pêndulo em PVC na cor branca.</v>
      </c>
      <c r="D10" s="25" t="str">
        <f>Item8!C3</f>
        <v>metro quadrado</v>
      </c>
      <c r="E10" s="25">
        <f>Item8!D3</f>
        <v>1700</v>
      </c>
      <c r="F10" s="26">
        <f>Item8!E3</f>
        <v>83.66</v>
      </c>
      <c r="G10" s="26">
        <f t="shared" si="0"/>
        <v>142222</v>
      </c>
    </row>
    <row r="11" spans="1:7" x14ac:dyDescent="0.25">
      <c r="A11" s="28"/>
      <c r="B11" s="28"/>
      <c r="C11" s="29"/>
      <c r="D11" s="30"/>
      <c r="E11" s="30"/>
      <c r="F11" s="31"/>
      <c r="G11" s="31"/>
    </row>
    <row r="12" spans="1:7" ht="15.75" thickBot="1" x14ac:dyDescent="0.3"/>
    <row r="13" spans="1:7" ht="16.5" thickTop="1" thickBot="1" x14ac:dyDescent="0.3">
      <c r="D13" s="22"/>
      <c r="E13" s="23" t="s">
        <v>33</v>
      </c>
      <c r="F13" s="24">
        <f>SUM(G:G)</f>
        <v>678299.9</v>
      </c>
    </row>
    <row r="14" spans="1:7" ht="15.75" thickTop="1" x14ac:dyDescent="0.25">
      <c r="F14" s="3"/>
    </row>
    <row r="15" spans="1:7" x14ac:dyDescent="0.25">
      <c r="D15" s="21" t="s">
        <v>32</v>
      </c>
      <c r="E15" s="13">
        <f>MAX(A:A)</f>
        <v>0</v>
      </c>
    </row>
    <row r="17" spans="4:6" x14ac:dyDescent="0.25">
      <c r="D17" s="18" t="s">
        <v>31</v>
      </c>
      <c r="E17" s="19">
        <v>1</v>
      </c>
      <c r="F17" s="20">
        <f>SUMIF(A:A,E17,G:G)</f>
        <v>0</v>
      </c>
    </row>
    <row r="18" spans="4:6" x14ac:dyDescent="0.25">
      <c r="D18" s="18" t="s">
        <v>31</v>
      </c>
      <c r="E18" s="19">
        <v>2</v>
      </c>
      <c r="F18" s="20">
        <f>SUMIF(A:A,E18,G:G)</f>
        <v>0</v>
      </c>
    </row>
    <row r="19" spans="4:6" x14ac:dyDescent="0.25">
      <c r="D19" s="18" t="s">
        <v>31</v>
      </c>
      <c r="E19" s="19">
        <v>3</v>
      </c>
      <c r="F19" s="20">
        <f>SUMIF(A:A,E19,G:G)</f>
        <v>0</v>
      </c>
    </row>
    <row r="20" spans="4:6" x14ac:dyDescent="0.25">
      <c r="D20" s="18" t="s">
        <v>31</v>
      </c>
      <c r="E20" s="19">
        <v>4</v>
      </c>
      <c r="F20" s="20">
        <f>SUMIF(A:A,E20,G:G)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5" orientation="portrait" r:id="rId1"/>
  <headerFooter>
    <oddHeader>&amp;C&amp;G</oddHeader>
    <oddFooter>&amp;L&amp;"-,Negrito"Estimativa em &amp;D&amp;Rn/a = não se aplica</oddFooter>
  </headerFooter>
  <rowBreaks count="2" manualBreakCount="2">
    <brk id="6" max="6" man="1"/>
    <brk id="13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3</v>
      </c>
      <c r="B3" s="37" t="s">
        <v>166</v>
      </c>
      <c r="C3" s="38" t="s">
        <v>98</v>
      </c>
      <c r="D3" s="39">
        <v>30</v>
      </c>
      <c r="E3" s="40">
        <f>IF(C20&lt;=25%,D20,MIN(E20:F20))</f>
        <v>265.26</v>
      </c>
      <c r="F3" s="40">
        <f>MIN(H3:H17)</f>
        <v>225.78</v>
      </c>
      <c r="G3" s="32" t="s">
        <v>119</v>
      </c>
      <c r="H3" s="33">
        <v>287.5</v>
      </c>
      <c r="I3" s="17">
        <f>IF(H3="","",(IF($C$20&lt;25%,"n/a",IF(H3&lt;=($D$20+$A$20),H3,"Descartado"))))</f>
        <v>287.5</v>
      </c>
    </row>
    <row r="4" spans="1:9" x14ac:dyDescent="0.25">
      <c r="A4" s="41"/>
      <c r="B4" s="37"/>
      <c r="C4" s="38"/>
      <c r="D4" s="39"/>
      <c r="E4" s="40"/>
      <c r="F4" s="40"/>
      <c r="G4" s="32" t="s">
        <v>120</v>
      </c>
      <c r="H4" s="33">
        <v>265.26</v>
      </c>
      <c r="I4" s="17">
        <f t="shared" ref="I4:I17" si="0">IF(H4="","",(IF($C$20&lt;25%,"n/a",IF(H4&lt;=($D$20+$A$20),H4,"Descartado"))))</f>
        <v>265.26</v>
      </c>
    </row>
    <row r="5" spans="1:9" x14ac:dyDescent="0.25">
      <c r="A5" s="41"/>
      <c r="B5" s="37"/>
      <c r="C5" s="38"/>
      <c r="D5" s="39"/>
      <c r="E5" s="40"/>
      <c r="F5" s="40"/>
      <c r="G5" s="32" t="s">
        <v>121</v>
      </c>
      <c r="H5" s="33">
        <v>225.78</v>
      </c>
      <c r="I5" s="17">
        <f t="shared" si="0"/>
        <v>225.78</v>
      </c>
    </row>
    <row r="6" spans="1:9" x14ac:dyDescent="0.25">
      <c r="A6" s="41"/>
      <c r="B6" s="37"/>
      <c r="C6" s="38"/>
      <c r="D6" s="39"/>
      <c r="E6" s="40"/>
      <c r="F6" s="40"/>
      <c r="G6" s="32" t="s">
        <v>122</v>
      </c>
      <c r="H6" s="33">
        <v>228.07</v>
      </c>
      <c r="I6" s="17">
        <f t="shared" si="0"/>
        <v>228.07</v>
      </c>
    </row>
    <row r="7" spans="1:9" x14ac:dyDescent="0.25">
      <c r="A7" s="41"/>
      <c r="B7" s="37"/>
      <c r="C7" s="38"/>
      <c r="D7" s="39"/>
      <c r="E7" s="40"/>
      <c r="F7" s="40"/>
      <c r="G7" s="32" t="s">
        <v>123</v>
      </c>
      <c r="H7" s="33">
        <v>253</v>
      </c>
      <c r="I7" s="17">
        <f t="shared" si="0"/>
        <v>253</v>
      </c>
    </row>
    <row r="8" spans="1:9" x14ac:dyDescent="0.25">
      <c r="A8" s="41"/>
      <c r="B8" s="37"/>
      <c r="C8" s="38"/>
      <c r="D8" s="39"/>
      <c r="E8" s="40"/>
      <c r="F8" s="40"/>
      <c r="G8" s="32" t="s">
        <v>111</v>
      </c>
      <c r="H8" s="33">
        <v>253.65</v>
      </c>
      <c r="I8" s="17">
        <f t="shared" si="0"/>
        <v>253.65</v>
      </c>
    </row>
    <row r="9" spans="1:9" x14ac:dyDescent="0.25">
      <c r="A9" s="41"/>
      <c r="B9" s="37"/>
      <c r="C9" s="38"/>
      <c r="D9" s="39"/>
      <c r="E9" s="40"/>
      <c r="F9" s="40"/>
      <c r="G9" s="32" t="s">
        <v>114</v>
      </c>
      <c r="H9" s="33">
        <v>900</v>
      </c>
      <c r="I9" s="17" t="str">
        <f t="shared" si="0"/>
        <v>Descartado</v>
      </c>
    </row>
    <row r="10" spans="1:9" x14ac:dyDescent="0.25">
      <c r="A10" s="41"/>
      <c r="B10" s="37"/>
      <c r="C10" s="38"/>
      <c r="D10" s="39"/>
      <c r="E10" s="40"/>
      <c r="F10" s="40"/>
      <c r="G10" s="32" t="s">
        <v>112</v>
      </c>
      <c r="H10" s="33">
        <v>253</v>
      </c>
      <c r="I10" s="17">
        <f t="shared" si="0"/>
        <v>253</v>
      </c>
    </row>
    <row r="11" spans="1:9" x14ac:dyDescent="0.25">
      <c r="A11" s="41"/>
      <c r="B11" s="37"/>
      <c r="C11" s="38"/>
      <c r="D11" s="39"/>
      <c r="E11" s="40"/>
      <c r="F11" s="40"/>
      <c r="G11" s="32" t="s">
        <v>124</v>
      </c>
      <c r="H11" s="33">
        <v>344.9</v>
      </c>
      <c r="I11" s="17">
        <f t="shared" si="0"/>
        <v>344.9</v>
      </c>
    </row>
    <row r="12" spans="1:9" x14ac:dyDescent="0.25">
      <c r="A12" s="41"/>
      <c r="B12" s="37"/>
      <c r="C12" s="38"/>
      <c r="D12" s="39"/>
      <c r="E12" s="40"/>
      <c r="F12" s="40"/>
      <c r="G12" s="32" t="s">
        <v>116</v>
      </c>
      <c r="H12" s="33">
        <v>345</v>
      </c>
      <c r="I12" s="17">
        <f t="shared" si="0"/>
        <v>345</v>
      </c>
    </row>
    <row r="13" spans="1:9" x14ac:dyDescent="0.25">
      <c r="A13" s="41"/>
      <c r="B13" s="37"/>
      <c r="C13" s="38"/>
      <c r="D13" s="39"/>
      <c r="E13" s="40"/>
      <c r="F13" s="40"/>
      <c r="G13" s="32" t="s">
        <v>118</v>
      </c>
      <c r="H13" s="33">
        <v>359</v>
      </c>
      <c r="I13" s="17">
        <f t="shared" si="0"/>
        <v>359</v>
      </c>
    </row>
    <row r="14" spans="1:9" x14ac:dyDescent="0.25">
      <c r="A14" s="41"/>
      <c r="B14" s="37"/>
      <c r="C14" s="38"/>
      <c r="D14" s="39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37"/>
      <c r="C15" s="38"/>
      <c r="D15" s="39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37"/>
      <c r="C16" s="38"/>
      <c r="D16" s="39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37"/>
      <c r="C17" s="38"/>
      <c r="D17" s="39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192.47469708084651</v>
      </c>
      <c r="B20" s="8">
        <f>COUNT(H3:H17)</f>
        <v>11</v>
      </c>
      <c r="C20" s="9">
        <f>IF(B20&lt;2,"n/a",(A20/D20))</f>
        <v>0.56989014354487622</v>
      </c>
      <c r="D20" s="10">
        <f>IFERROR(ROUND(AVERAGE(H3:H17),2),"")</f>
        <v>337.74</v>
      </c>
      <c r="E20" s="15">
        <f>IFERROR(ROUND(IF(B20&lt;2,"n/a",(IF(C20&lt;=25%,"n/a",AVERAGE(I3:I17)))),2),"n/a")</f>
        <v>281.52</v>
      </c>
      <c r="F20" s="10">
        <f>IFERROR(ROUND(MEDIAN(H3:H17),2),"")</f>
        <v>265.26</v>
      </c>
      <c r="G20" s="11" t="str">
        <f>IFERROR(INDEX(G3:G17,MATCH(H20,H3:H17,0)),"")</f>
        <v>PE 68/2023 MUNIZ LEMOS SERVICOS DE ENGENHA</v>
      </c>
      <c r="H20" s="12">
        <f>F3</f>
        <v>225.78</v>
      </c>
    </row>
    <row r="22" spans="1:9" x14ac:dyDescent="0.25">
      <c r="G22" s="13" t="s">
        <v>20</v>
      </c>
      <c r="H22" s="14">
        <f>IF(C20&lt;=25%,D20,MIN(E20:F20))</f>
        <v>265.26</v>
      </c>
    </row>
    <row r="23" spans="1:9" x14ac:dyDescent="0.25">
      <c r="G23" s="13" t="s">
        <v>6</v>
      </c>
      <c r="H23" s="14">
        <f>ROUND(H22,2)*D3</f>
        <v>7957.7999999999993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4</v>
      </c>
      <c r="B3" s="37" t="s">
        <v>167</v>
      </c>
      <c r="C3" s="38" t="s">
        <v>98</v>
      </c>
      <c r="D3" s="39">
        <v>50</v>
      </c>
      <c r="E3" s="40">
        <f>IF(C20&lt;=25%,D20,MIN(E20:F20))</f>
        <v>586.80999999999995</v>
      </c>
      <c r="F3" s="40">
        <f>MIN(H3:H17)</f>
        <v>345</v>
      </c>
      <c r="G3" s="32" t="s">
        <v>132</v>
      </c>
      <c r="H3" s="33">
        <v>688.05</v>
      </c>
      <c r="I3" s="17">
        <f>IF(H3="","",(IF($C$20&lt;25%,"n/a",IF(H3&lt;=($D$20+$A$20),H3,"Descartado"))))</f>
        <v>688.05</v>
      </c>
    </row>
    <row r="4" spans="1:9" x14ac:dyDescent="0.25">
      <c r="A4" s="41"/>
      <c r="B4" s="37"/>
      <c r="C4" s="38"/>
      <c r="D4" s="39"/>
      <c r="E4" s="40"/>
      <c r="F4" s="40"/>
      <c r="G4" s="32" t="s">
        <v>125</v>
      </c>
      <c r="H4" s="33">
        <v>775.32</v>
      </c>
      <c r="I4" s="17">
        <f t="shared" ref="I4:I17" si="0">IF(H4="","",(IF($C$20&lt;25%,"n/a",IF(H4&lt;=($D$20+$A$20),H4,"Descartado"))))</f>
        <v>775.32</v>
      </c>
    </row>
    <row r="5" spans="1:9" x14ac:dyDescent="0.25">
      <c r="A5" s="41"/>
      <c r="B5" s="37"/>
      <c r="C5" s="38"/>
      <c r="D5" s="39"/>
      <c r="E5" s="40"/>
      <c r="F5" s="40"/>
      <c r="G5" s="34" t="s">
        <v>133</v>
      </c>
      <c r="H5" s="33">
        <v>1407</v>
      </c>
      <c r="I5" s="17">
        <f t="shared" si="0"/>
        <v>1407</v>
      </c>
    </row>
    <row r="6" spans="1:9" x14ac:dyDescent="0.25">
      <c r="A6" s="41"/>
      <c r="B6" s="37"/>
      <c r="C6" s="38"/>
      <c r="D6" s="39"/>
      <c r="E6" s="40"/>
      <c r="F6" s="40"/>
      <c r="G6" s="34" t="s">
        <v>126</v>
      </c>
      <c r="H6" s="33">
        <v>2000</v>
      </c>
      <c r="I6" s="17" t="str">
        <f t="shared" si="0"/>
        <v>Descartado</v>
      </c>
    </row>
    <row r="7" spans="1:9" x14ac:dyDescent="0.25">
      <c r="A7" s="41"/>
      <c r="B7" s="37"/>
      <c r="C7" s="38"/>
      <c r="D7" s="39"/>
      <c r="E7" s="40"/>
      <c r="F7" s="40"/>
      <c r="G7" s="34" t="s">
        <v>127</v>
      </c>
      <c r="H7" s="33">
        <v>1432.34</v>
      </c>
      <c r="I7" s="17" t="str">
        <f t="shared" si="0"/>
        <v>Descartado</v>
      </c>
    </row>
    <row r="8" spans="1:9" ht="16.5" customHeight="1" x14ac:dyDescent="0.25">
      <c r="A8" s="41"/>
      <c r="B8" s="37"/>
      <c r="C8" s="38"/>
      <c r="D8" s="39"/>
      <c r="E8" s="40"/>
      <c r="F8" s="40"/>
      <c r="G8" s="34" t="s">
        <v>128</v>
      </c>
      <c r="H8" s="33">
        <v>1423</v>
      </c>
      <c r="I8" s="17" t="str">
        <f>IF(H8="","",(IF($C$20&lt;25%,"n/a",IF(H8&lt;=($D$20+$A$20),H8,"Descartado"))))</f>
        <v>Descartado</v>
      </c>
    </row>
    <row r="9" spans="1:9" x14ac:dyDescent="0.25">
      <c r="A9" s="41"/>
      <c r="B9" s="37"/>
      <c r="C9" s="38"/>
      <c r="D9" s="39"/>
      <c r="E9" s="40"/>
      <c r="F9" s="40"/>
      <c r="G9" s="34" t="s">
        <v>134</v>
      </c>
      <c r="H9" s="33">
        <v>345.55</v>
      </c>
      <c r="I9" s="17">
        <f t="shared" si="0"/>
        <v>345.55</v>
      </c>
    </row>
    <row r="10" spans="1:9" x14ac:dyDescent="0.25">
      <c r="A10" s="41"/>
      <c r="B10" s="37"/>
      <c r="C10" s="38"/>
      <c r="D10" s="39"/>
      <c r="E10" s="40"/>
      <c r="F10" s="40"/>
      <c r="G10" s="34" t="s">
        <v>129</v>
      </c>
      <c r="H10" s="33">
        <v>345</v>
      </c>
      <c r="I10" s="17">
        <f t="shared" si="0"/>
        <v>345</v>
      </c>
    </row>
    <row r="11" spans="1:9" x14ac:dyDescent="0.25">
      <c r="A11" s="41"/>
      <c r="B11" s="37"/>
      <c r="C11" s="38"/>
      <c r="D11" s="39"/>
      <c r="E11" s="40"/>
      <c r="F11" s="40"/>
      <c r="G11" s="32" t="s">
        <v>99</v>
      </c>
      <c r="H11" s="33">
        <v>354.26</v>
      </c>
      <c r="I11" s="17">
        <f t="shared" si="0"/>
        <v>354.26</v>
      </c>
    </row>
    <row r="12" spans="1:9" x14ac:dyDescent="0.25">
      <c r="A12" s="41"/>
      <c r="B12" s="37"/>
      <c r="C12" s="38"/>
      <c r="D12" s="39"/>
      <c r="E12" s="40"/>
      <c r="F12" s="40"/>
      <c r="G12" s="34" t="s">
        <v>130</v>
      </c>
      <c r="H12" s="33">
        <v>601</v>
      </c>
      <c r="I12" s="17">
        <f t="shared" si="0"/>
        <v>601</v>
      </c>
    </row>
    <row r="13" spans="1:9" x14ac:dyDescent="0.25">
      <c r="A13" s="41"/>
      <c r="B13" s="37"/>
      <c r="C13" s="38"/>
      <c r="D13" s="39"/>
      <c r="E13" s="40"/>
      <c r="F13" s="40"/>
      <c r="G13" s="32" t="s">
        <v>131</v>
      </c>
      <c r="H13" s="33">
        <v>380</v>
      </c>
      <c r="I13" s="17">
        <f t="shared" si="0"/>
        <v>380</v>
      </c>
    </row>
    <row r="14" spans="1:9" x14ac:dyDescent="0.25">
      <c r="A14" s="41"/>
      <c r="B14" s="37"/>
      <c r="C14" s="38"/>
      <c r="D14" s="39"/>
      <c r="E14" s="40"/>
      <c r="F14" s="40"/>
      <c r="G14" s="32" t="s">
        <v>120</v>
      </c>
      <c r="H14" s="33">
        <v>385.11</v>
      </c>
      <c r="I14" s="17">
        <f t="shared" si="0"/>
        <v>385.11</v>
      </c>
    </row>
    <row r="15" spans="1:9" x14ac:dyDescent="0.25">
      <c r="A15" s="41"/>
      <c r="B15" s="37"/>
      <c r="C15" s="38"/>
      <c r="D15" s="39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37"/>
      <c r="C16" s="38"/>
      <c r="D16" s="39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37"/>
      <c r="C17" s="38"/>
      <c r="D17" s="39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570.95970215161435</v>
      </c>
      <c r="B20" s="8">
        <f>COUNT(H3:H17)</f>
        <v>12</v>
      </c>
      <c r="C20" s="9">
        <f>IF(B20&lt;2,"n/a",(A20/D20))</f>
        <v>0.67591592735061834</v>
      </c>
      <c r="D20" s="10">
        <f>IFERROR(ROUND(AVERAGE(H3:H17),2),"")</f>
        <v>844.72</v>
      </c>
      <c r="E20" s="15">
        <f>IFERROR(ROUND(IF(B20&lt;2,"n/a",(IF(C20&lt;=25%,"n/a",AVERAGE(I3:I17)))),2),"n/a")</f>
        <v>586.80999999999995</v>
      </c>
      <c r="F20" s="10">
        <f>IFERROR(ROUND(MEDIAN(H3:H17),2),"")</f>
        <v>644.53</v>
      </c>
      <c r="G20" s="11" t="str">
        <f>IFERROR(INDEX(G3:G17,MATCH(H20,H3:H17,0)),"")</f>
        <v>PE 560/2023 ART FILM PELICULAS COM</v>
      </c>
      <c r="H20" s="12">
        <f>F3</f>
        <v>345</v>
      </c>
    </row>
    <row r="22" spans="1:9" x14ac:dyDescent="0.25">
      <c r="G22" s="13" t="s">
        <v>20</v>
      </c>
      <c r="H22" s="14">
        <f>IF(C20&lt;=25%,D20,MIN(E20:F20))</f>
        <v>586.80999999999995</v>
      </c>
    </row>
    <row r="23" spans="1:9" x14ac:dyDescent="0.25">
      <c r="G23" s="13" t="s">
        <v>6</v>
      </c>
      <c r="H23" s="14">
        <f>ROUND(H22,2)*D3</f>
        <v>29340.499999999996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5</v>
      </c>
      <c r="B3" s="37" t="s">
        <v>168</v>
      </c>
      <c r="C3" s="38" t="s">
        <v>98</v>
      </c>
      <c r="D3" s="39">
        <v>180</v>
      </c>
      <c r="E3" s="40">
        <f>IF(C20&lt;=25%,D20,MIN(E20:F20))</f>
        <v>389.72</v>
      </c>
      <c r="F3" s="40">
        <f>MIN(H3:H17)</f>
        <v>367</v>
      </c>
      <c r="G3" s="32" t="s">
        <v>99</v>
      </c>
      <c r="H3" s="33">
        <v>367</v>
      </c>
      <c r="I3" s="17" t="str">
        <f>IF(H3="","",(IF($C$20&lt;25%,"n/a",IF(H3&lt;=($D$20+$A$20),H3,"Descartado"))))</f>
        <v>n/a</v>
      </c>
    </row>
    <row r="4" spans="1:9" x14ac:dyDescent="0.25">
      <c r="A4" s="41"/>
      <c r="B4" s="37"/>
      <c r="C4" s="38"/>
      <c r="D4" s="39"/>
      <c r="E4" s="40"/>
      <c r="F4" s="40"/>
      <c r="G4" s="32" t="s">
        <v>135</v>
      </c>
      <c r="H4" s="33">
        <v>368.11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41"/>
      <c r="B5" s="37"/>
      <c r="C5" s="38"/>
      <c r="D5" s="39"/>
      <c r="E5" s="40"/>
      <c r="F5" s="40"/>
      <c r="G5" s="32" t="s">
        <v>136</v>
      </c>
      <c r="H5" s="33">
        <v>368.1</v>
      </c>
      <c r="I5" s="17" t="str">
        <f t="shared" si="0"/>
        <v>n/a</v>
      </c>
    </row>
    <row r="6" spans="1:9" x14ac:dyDescent="0.25">
      <c r="A6" s="41"/>
      <c r="B6" s="37"/>
      <c r="C6" s="38"/>
      <c r="D6" s="39"/>
      <c r="E6" s="40"/>
      <c r="F6" s="40"/>
      <c r="G6" s="32" t="s">
        <v>137</v>
      </c>
      <c r="H6" s="33">
        <v>499</v>
      </c>
      <c r="I6" s="17" t="str">
        <f t="shared" si="0"/>
        <v>n/a</v>
      </c>
    </row>
    <row r="7" spans="1:9" x14ac:dyDescent="0.25">
      <c r="A7" s="41"/>
      <c r="B7" s="37"/>
      <c r="C7" s="38"/>
      <c r="D7" s="39"/>
      <c r="E7" s="40"/>
      <c r="F7" s="40"/>
      <c r="G7" s="32" t="s">
        <v>138</v>
      </c>
      <c r="H7" s="33">
        <v>368</v>
      </c>
      <c r="I7" s="17" t="str">
        <f t="shared" si="0"/>
        <v>n/a</v>
      </c>
    </row>
    <row r="8" spans="1:9" x14ac:dyDescent="0.25">
      <c r="A8" s="41"/>
      <c r="B8" s="37"/>
      <c r="C8" s="38"/>
      <c r="D8" s="39"/>
      <c r="E8" s="40"/>
      <c r="F8" s="40"/>
      <c r="G8" s="32" t="s">
        <v>139</v>
      </c>
      <c r="H8" s="33">
        <v>368.1</v>
      </c>
      <c r="I8" s="17" t="str">
        <f t="shared" si="0"/>
        <v>n/a</v>
      </c>
    </row>
    <row r="9" spans="1:9" x14ac:dyDescent="0.25">
      <c r="A9" s="41"/>
      <c r="B9" s="37"/>
      <c r="C9" s="38"/>
      <c r="D9" s="39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37"/>
      <c r="C10" s="38"/>
      <c r="D10" s="39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37"/>
      <c r="C11" s="38"/>
      <c r="D11" s="39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37"/>
      <c r="C12" s="38"/>
      <c r="D12" s="39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37"/>
      <c r="C13" s="38"/>
      <c r="D13" s="39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37"/>
      <c r="C14" s="38"/>
      <c r="D14" s="39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37"/>
      <c r="C15" s="38"/>
      <c r="D15" s="39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37"/>
      <c r="C16" s="38"/>
      <c r="D16" s="39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37"/>
      <c r="C17" s="38"/>
      <c r="D17" s="39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53.538614257997807</v>
      </c>
      <c r="B20" s="8">
        <f>COUNT(H3:H17)</f>
        <v>6</v>
      </c>
      <c r="C20" s="9">
        <f>IF(B20&lt;2,"n/a",(A20/D20))</f>
        <v>0.13737712783023145</v>
      </c>
      <c r="D20" s="10">
        <f>IFERROR(ROUND(AVERAGE(H3:H17),2),"")</f>
        <v>389.72</v>
      </c>
      <c r="E20" s="15" t="str">
        <f>IFERROR(ROUND(IF(B20&lt;2,"n/a",(IF(C20&lt;=25%,"n/a",AVERAGE(I3:I17)))),2),"n/a")</f>
        <v>n/a</v>
      </c>
      <c r="F20" s="10">
        <f>IFERROR(ROUND(MEDIAN(H3:H17),2),"")</f>
        <v>368.1</v>
      </c>
      <c r="G20" s="11" t="str">
        <f>IFERROR(INDEX(G3:G17,MATCH(H20,H3:H17,0)),"")</f>
        <v>PE 560/2023 RM SOLUCOES INTEGRADAS LTDA</v>
      </c>
      <c r="H20" s="12">
        <f>F3</f>
        <v>367</v>
      </c>
    </row>
    <row r="22" spans="1:9" x14ac:dyDescent="0.25">
      <c r="G22" s="13" t="s">
        <v>20</v>
      </c>
      <c r="H22" s="14">
        <f>IF(C20&lt;=25%,D20,MIN(E20:F20))</f>
        <v>389.72</v>
      </c>
    </row>
    <row r="23" spans="1:9" x14ac:dyDescent="0.25">
      <c r="G23" s="13" t="s">
        <v>6</v>
      </c>
      <c r="H23" s="14">
        <f>ROUND(H22,2)*D3</f>
        <v>70149.600000000006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6</v>
      </c>
      <c r="B3" s="37" t="s">
        <v>169</v>
      </c>
      <c r="C3" s="38" t="s">
        <v>98</v>
      </c>
      <c r="D3" s="39">
        <v>150</v>
      </c>
      <c r="E3" s="40">
        <f>IF(C20&lt;=25%,D20,MIN(E20:F20))</f>
        <v>950.33</v>
      </c>
      <c r="F3" s="40">
        <f>MIN(H3:H17)</f>
        <v>865</v>
      </c>
      <c r="G3" s="32" t="s">
        <v>99</v>
      </c>
      <c r="H3" s="33">
        <v>865</v>
      </c>
      <c r="I3" s="17" t="str">
        <f>IF(H3="","",(IF($C$20&lt;25%,"n/a",IF(H3&lt;=($D$20+$A$20),H3,"Descartado"))))</f>
        <v>n/a</v>
      </c>
    </row>
    <row r="4" spans="1:9" x14ac:dyDescent="0.25">
      <c r="A4" s="41"/>
      <c r="B4" s="37"/>
      <c r="C4" s="38"/>
      <c r="D4" s="39"/>
      <c r="E4" s="40"/>
      <c r="F4" s="40"/>
      <c r="G4" s="32" t="s">
        <v>137</v>
      </c>
      <c r="H4" s="33">
        <v>1120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41"/>
      <c r="B5" s="37"/>
      <c r="C5" s="38"/>
      <c r="D5" s="39"/>
      <c r="E5" s="40"/>
      <c r="F5" s="40"/>
      <c r="G5" s="32" t="s">
        <v>135</v>
      </c>
      <c r="H5" s="33">
        <v>866</v>
      </c>
      <c r="I5" s="17" t="str">
        <f t="shared" si="0"/>
        <v>n/a</v>
      </c>
    </row>
    <row r="6" spans="1:9" x14ac:dyDescent="0.25">
      <c r="A6" s="41"/>
      <c r="B6" s="37"/>
      <c r="C6" s="38"/>
      <c r="D6" s="39"/>
      <c r="E6" s="40"/>
      <c r="F6" s="40"/>
      <c r="G6" s="5"/>
      <c r="H6" s="16"/>
      <c r="I6" s="17" t="str">
        <f t="shared" si="0"/>
        <v/>
      </c>
    </row>
    <row r="7" spans="1:9" x14ac:dyDescent="0.25">
      <c r="A7" s="41"/>
      <c r="B7" s="37"/>
      <c r="C7" s="38"/>
      <c r="D7" s="39"/>
      <c r="E7" s="40"/>
      <c r="F7" s="40"/>
      <c r="G7" s="5"/>
      <c r="H7" s="16"/>
      <c r="I7" s="17" t="str">
        <f t="shared" si="0"/>
        <v/>
      </c>
    </row>
    <row r="8" spans="1:9" x14ac:dyDescent="0.25">
      <c r="A8" s="41"/>
      <c r="B8" s="37"/>
      <c r="C8" s="38"/>
      <c r="D8" s="39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37"/>
      <c r="C9" s="38"/>
      <c r="D9" s="39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37"/>
      <c r="C10" s="38"/>
      <c r="D10" s="39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37"/>
      <c r="C11" s="38"/>
      <c r="D11" s="39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37"/>
      <c r="C12" s="38"/>
      <c r="D12" s="39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37"/>
      <c r="C13" s="38"/>
      <c r="D13" s="39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37"/>
      <c r="C14" s="38"/>
      <c r="D14" s="39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37"/>
      <c r="C15" s="38"/>
      <c r="D15" s="39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37"/>
      <c r="C16" s="38"/>
      <c r="D16" s="39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37"/>
      <c r="C17" s="38"/>
      <c r="D17" s="39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146.9364942188742</v>
      </c>
      <c r="B20" s="8">
        <f>COUNT(H3:H17)</f>
        <v>3</v>
      </c>
      <c r="C20" s="9">
        <f>IF(B20&lt;2,"n/a",(A20/D20))</f>
        <v>0.15461628509978029</v>
      </c>
      <c r="D20" s="10">
        <f>IFERROR(ROUND(AVERAGE(H3:H17),2),"")</f>
        <v>950.33</v>
      </c>
      <c r="E20" s="15" t="str">
        <f>IFERROR(ROUND(IF(B20&lt;2,"n/a",(IF(C20&lt;=25%,"n/a",AVERAGE(I3:I17)))),2),"n/a")</f>
        <v>n/a</v>
      </c>
      <c r="F20" s="10">
        <f>IFERROR(ROUND(MEDIAN(H3:H17),2),"")</f>
        <v>866</v>
      </c>
      <c r="G20" s="11" t="str">
        <f>IFERROR(INDEX(G3:G17,MATCH(H20,H3:H17,0)),"")</f>
        <v>PE 560/2023 RM SOLUCOES INTEGRADAS LTDA</v>
      </c>
      <c r="H20" s="12">
        <f>F3</f>
        <v>865</v>
      </c>
    </row>
    <row r="22" spans="1:9" x14ac:dyDescent="0.25">
      <c r="G22" s="13" t="s">
        <v>20</v>
      </c>
      <c r="H22" s="14">
        <f>IF(C20&lt;=25%,D20,MIN(E20:F20))</f>
        <v>950.33</v>
      </c>
    </row>
    <row r="23" spans="1:9" x14ac:dyDescent="0.25">
      <c r="G23" s="13" t="s">
        <v>6</v>
      </c>
      <c r="H23" s="14">
        <f>ROUND(H22,2)*D3</f>
        <v>142549.5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7</v>
      </c>
      <c r="B3" s="37" t="s">
        <v>170</v>
      </c>
      <c r="C3" s="38" t="s">
        <v>98</v>
      </c>
      <c r="D3" s="39">
        <v>2900</v>
      </c>
      <c r="E3" s="40">
        <f>IF(C20&lt;=25%,D20,MIN(E20:F20))</f>
        <v>75.72</v>
      </c>
      <c r="F3" s="42">
        <f>MIN(H3:H18)</f>
        <v>49.85</v>
      </c>
      <c r="G3" s="32" t="s">
        <v>140</v>
      </c>
      <c r="H3" s="33">
        <v>87.99</v>
      </c>
      <c r="I3" s="17">
        <f>IF(H3="","",(IF($C$20&lt;25%,"n/a",IF(H3&lt;=($D$20+$A$20),H3,"Descartado"))))</f>
        <v>87.99</v>
      </c>
    </row>
    <row r="4" spans="1:9" x14ac:dyDescent="0.25">
      <c r="A4" s="41"/>
      <c r="B4" s="37"/>
      <c r="C4" s="38"/>
      <c r="D4" s="39"/>
      <c r="E4" s="40"/>
      <c r="F4" s="40"/>
      <c r="G4" s="32" t="s">
        <v>141</v>
      </c>
      <c r="H4" s="33">
        <v>164.45</v>
      </c>
      <c r="I4" s="17" t="str">
        <f t="shared" ref="I4:I18" si="0">IF(H4="","",(IF($C$20&lt;25%,"n/a",IF(H4&lt;=($D$20+$A$20),H4,"Descartado"))))</f>
        <v>Descartado</v>
      </c>
    </row>
    <row r="5" spans="1:9" x14ac:dyDescent="0.25">
      <c r="A5" s="41"/>
      <c r="B5" s="37"/>
      <c r="C5" s="38"/>
      <c r="D5" s="39"/>
      <c r="E5" s="40"/>
      <c r="F5" s="40"/>
      <c r="G5" s="32" t="s">
        <v>142</v>
      </c>
      <c r="H5" s="33">
        <v>88</v>
      </c>
      <c r="I5" s="17">
        <f t="shared" si="0"/>
        <v>88</v>
      </c>
    </row>
    <row r="6" spans="1:9" x14ac:dyDescent="0.25">
      <c r="A6" s="41"/>
      <c r="B6" s="37"/>
      <c r="C6" s="38"/>
      <c r="D6" s="39"/>
      <c r="E6" s="40"/>
      <c r="F6" s="40"/>
      <c r="G6" s="32" t="s">
        <v>143</v>
      </c>
      <c r="H6" s="33">
        <v>144</v>
      </c>
      <c r="I6" s="17">
        <f t="shared" si="0"/>
        <v>144</v>
      </c>
    </row>
    <row r="7" spans="1:9" x14ac:dyDescent="0.25">
      <c r="A7" s="41"/>
      <c r="B7" s="37"/>
      <c r="C7" s="38"/>
      <c r="D7" s="39"/>
      <c r="E7" s="40"/>
      <c r="F7" s="40"/>
      <c r="G7" s="32" t="s">
        <v>144</v>
      </c>
      <c r="H7" s="33">
        <v>163.5</v>
      </c>
      <c r="I7" s="17" t="str">
        <f t="shared" si="0"/>
        <v>Descartado</v>
      </c>
    </row>
    <row r="8" spans="1:9" x14ac:dyDescent="0.25">
      <c r="A8" s="41"/>
      <c r="B8" s="37"/>
      <c r="C8" s="38"/>
      <c r="D8" s="39"/>
      <c r="E8" s="40"/>
      <c r="F8" s="40"/>
      <c r="G8" s="32" t="s">
        <v>145</v>
      </c>
      <c r="H8" s="33">
        <v>164.4</v>
      </c>
      <c r="I8" s="17" t="str">
        <f t="shared" si="0"/>
        <v>Descartado</v>
      </c>
    </row>
    <row r="9" spans="1:9" x14ac:dyDescent="0.25">
      <c r="A9" s="41"/>
      <c r="B9" s="37"/>
      <c r="C9" s="38"/>
      <c r="D9" s="39"/>
      <c r="E9" s="40"/>
      <c r="F9" s="40"/>
      <c r="G9" s="32" t="s">
        <v>146</v>
      </c>
      <c r="H9" s="33">
        <v>164.45</v>
      </c>
      <c r="I9" s="17" t="str">
        <f t="shared" si="0"/>
        <v>Descartado</v>
      </c>
    </row>
    <row r="10" spans="1:9" x14ac:dyDescent="0.25">
      <c r="A10" s="41"/>
      <c r="B10" s="37"/>
      <c r="C10" s="38"/>
      <c r="D10" s="39"/>
      <c r="E10" s="40"/>
      <c r="F10" s="40"/>
      <c r="G10" s="32" t="s">
        <v>147</v>
      </c>
      <c r="H10" s="33">
        <v>99.98</v>
      </c>
      <c r="I10" s="17">
        <f t="shared" si="0"/>
        <v>99.98</v>
      </c>
    </row>
    <row r="11" spans="1:9" x14ac:dyDescent="0.25">
      <c r="A11" s="41"/>
      <c r="B11" s="37"/>
      <c r="C11" s="38"/>
      <c r="D11" s="39"/>
      <c r="E11" s="40"/>
      <c r="F11" s="40"/>
      <c r="G11" s="32" t="s">
        <v>148</v>
      </c>
      <c r="H11" s="33">
        <v>164</v>
      </c>
      <c r="I11" s="17" t="str">
        <f t="shared" si="0"/>
        <v>Descartado</v>
      </c>
    </row>
    <row r="12" spans="1:9" x14ac:dyDescent="0.25">
      <c r="A12" s="41"/>
      <c r="B12" s="37"/>
      <c r="C12" s="38"/>
      <c r="D12" s="39"/>
      <c r="E12" s="40"/>
      <c r="F12" s="40"/>
      <c r="G12" s="32" t="s">
        <v>149</v>
      </c>
      <c r="H12" s="33">
        <v>49.85</v>
      </c>
      <c r="I12" s="17">
        <f t="shared" si="0"/>
        <v>49.85</v>
      </c>
    </row>
    <row r="13" spans="1:9" x14ac:dyDescent="0.25">
      <c r="A13" s="41"/>
      <c r="B13" s="37"/>
      <c r="C13" s="38"/>
      <c r="D13" s="39"/>
      <c r="E13" s="40"/>
      <c r="F13" s="40"/>
      <c r="G13" s="32" t="s">
        <v>150</v>
      </c>
      <c r="H13" s="33">
        <v>63.77</v>
      </c>
      <c r="I13" s="17">
        <f t="shared" si="0"/>
        <v>63.77</v>
      </c>
    </row>
    <row r="14" spans="1:9" x14ac:dyDescent="0.25">
      <c r="A14" s="41"/>
      <c r="B14" s="37"/>
      <c r="C14" s="38"/>
      <c r="D14" s="39"/>
      <c r="E14" s="40"/>
      <c r="F14" s="40"/>
      <c r="G14" s="32" t="s">
        <v>151</v>
      </c>
      <c r="H14" s="33">
        <v>49.89</v>
      </c>
      <c r="I14" s="17">
        <f t="shared" si="0"/>
        <v>49.89</v>
      </c>
    </row>
    <row r="15" spans="1:9" x14ac:dyDescent="0.25">
      <c r="A15" s="41"/>
      <c r="B15" s="37"/>
      <c r="C15" s="38"/>
      <c r="D15" s="39"/>
      <c r="E15" s="40"/>
      <c r="F15" s="40"/>
      <c r="G15" s="32" t="s">
        <v>152</v>
      </c>
      <c r="H15" s="33">
        <v>63.77</v>
      </c>
      <c r="I15" s="17">
        <f t="shared" si="0"/>
        <v>63.77</v>
      </c>
    </row>
    <row r="16" spans="1:9" x14ac:dyDescent="0.25">
      <c r="A16" s="41"/>
      <c r="B16" s="37"/>
      <c r="C16" s="38"/>
      <c r="D16" s="39"/>
      <c r="E16" s="40"/>
      <c r="F16" s="40"/>
      <c r="G16" s="32" t="s">
        <v>153</v>
      </c>
      <c r="H16" s="33">
        <v>60</v>
      </c>
      <c r="I16" s="17">
        <f t="shared" si="0"/>
        <v>60</v>
      </c>
    </row>
    <row r="17" spans="1:9" x14ac:dyDescent="0.25">
      <c r="A17" s="41"/>
      <c r="B17" s="37"/>
      <c r="C17" s="38"/>
      <c r="D17" s="39"/>
      <c r="E17" s="40"/>
      <c r="F17" s="40"/>
      <c r="G17" s="32" t="s">
        <v>154</v>
      </c>
      <c r="H17" s="33">
        <v>49.9</v>
      </c>
      <c r="I17" s="17">
        <f t="shared" si="0"/>
        <v>49.9</v>
      </c>
    </row>
    <row r="18" spans="1:9" x14ac:dyDescent="0.25">
      <c r="G18" s="32"/>
      <c r="H18" s="33"/>
      <c r="I18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49.398991988944552</v>
      </c>
      <c r="B20" s="8">
        <f>COUNT(H3:H17)</f>
        <v>15</v>
      </c>
      <c r="C20" s="9">
        <f>IF(B20&lt;2,"n/a",(A20/D20))</f>
        <v>0.46957216719529038</v>
      </c>
      <c r="D20" s="10">
        <f>IFERROR(ROUND(AVERAGE(H3:H17),2),"")</f>
        <v>105.2</v>
      </c>
      <c r="E20" s="15">
        <f>IFERROR(ROUND(IF(B20&lt;2,"n/a",(IF(C20&lt;=25%,"n/a",AVERAGE(I3:I17)))),2),"n/a")</f>
        <v>75.72</v>
      </c>
      <c r="F20" s="10">
        <f>IFERROR(ROUND(MEDIAN(H3:H17),2),"")</f>
        <v>88</v>
      </c>
      <c r="G20" s="11" t="str">
        <f>IFERROR(INDEX(G3:G17,MATCH(H20,H3:H17,0)),"")</f>
        <v>PE90004/2024  CELSO SCHNEIDER PIRES</v>
      </c>
      <c r="H20" s="12">
        <f>F3</f>
        <v>49.85</v>
      </c>
    </row>
    <row r="22" spans="1:9" x14ac:dyDescent="0.25">
      <c r="G22" s="13" t="s">
        <v>20</v>
      </c>
      <c r="H22" s="14">
        <f>IF(C20&lt;=25%,D20,MIN(E20:F20))</f>
        <v>75.72</v>
      </c>
    </row>
    <row r="23" spans="1:9" x14ac:dyDescent="0.25">
      <c r="G23" s="13" t="s">
        <v>6</v>
      </c>
      <c r="H23" s="14">
        <f>ROUND(H22,2)*D3</f>
        <v>219588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9" sqref="B1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8</v>
      </c>
      <c r="B3" s="37" t="s">
        <v>155</v>
      </c>
      <c r="C3" s="38" t="s">
        <v>98</v>
      </c>
      <c r="D3" s="39">
        <v>1700</v>
      </c>
      <c r="E3" s="40">
        <f>IF(C20&lt;=25%,D20,MIN(E20:F20))</f>
        <v>83.66</v>
      </c>
      <c r="F3" s="40">
        <f>MIN(H3:H17)</f>
        <v>58</v>
      </c>
      <c r="G3" s="32" t="s">
        <v>144</v>
      </c>
      <c r="H3" s="33">
        <v>58</v>
      </c>
      <c r="I3" s="17">
        <f>IF(H3="","",(IF($C$20&lt;25%,"n/a",IF(H3&lt;=($D$20+$A$20),H3,"Descartado"))))</f>
        <v>58</v>
      </c>
    </row>
    <row r="4" spans="1:9" x14ac:dyDescent="0.25">
      <c r="A4" s="41"/>
      <c r="B4" s="37"/>
      <c r="C4" s="38"/>
      <c r="D4" s="39"/>
      <c r="E4" s="40"/>
      <c r="F4" s="40"/>
      <c r="G4" s="32" t="s">
        <v>156</v>
      </c>
      <c r="H4" s="33">
        <v>119</v>
      </c>
      <c r="I4" s="17">
        <f t="shared" ref="I4:I17" si="0">IF(H4="","",(IF($C$20&lt;25%,"n/a",IF(H4&lt;=($D$20+$A$20),H4,"Descartado"))))</f>
        <v>119</v>
      </c>
    </row>
    <row r="5" spans="1:9" x14ac:dyDescent="0.25">
      <c r="A5" s="41"/>
      <c r="B5" s="37"/>
      <c r="C5" s="38"/>
      <c r="D5" s="39"/>
      <c r="E5" s="40"/>
      <c r="F5" s="40"/>
      <c r="G5" s="32" t="s">
        <v>157</v>
      </c>
      <c r="H5" s="33">
        <v>200</v>
      </c>
      <c r="I5" s="17" t="str">
        <f t="shared" si="0"/>
        <v>Descartado</v>
      </c>
    </row>
    <row r="6" spans="1:9" x14ac:dyDescent="0.25">
      <c r="A6" s="41"/>
      <c r="B6" s="37"/>
      <c r="C6" s="38"/>
      <c r="D6" s="39"/>
      <c r="E6" s="40"/>
      <c r="F6" s="40"/>
      <c r="G6" s="32" t="s">
        <v>158</v>
      </c>
      <c r="H6" s="33">
        <v>70</v>
      </c>
      <c r="I6" s="17">
        <f t="shared" si="0"/>
        <v>70</v>
      </c>
    </row>
    <row r="7" spans="1:9" x14ac:dyDescent="0.25">
      <c r="A7" s="41"/>
      <c r="B7" s="37"/>
      <c r="C7" s="38"/>
      <c r="D7" s="39"/>
      <c r="E7" s="40"/>
      <c r="F7" s="40"/>
      <c r="G7" s="32" t="s">
        <v>159</v>
      </c>
      <c r="H7" s="33">
        <v>100.9</v>
      </c>
      <c r="I7" s="17">
        <f t="shared" si="0"/>
        <v>100.9</v>
      </c>
    </row>
    <row r="8" spans="1:9" x14ac:dyDescent="0.25">
      <c r="A8" s="41"/>
      <c r="B8" s="37"/>
      <c r="C8" s="38"/>
      <c r="D8" s="39"/>
      <c r="E8" s="40"/>
      <c r="F8" s="40"/>
      <c r="G8" s="32" t="s">
        <v>160</v>
      </c>
      <c r="H8" s="33">
        <v>240</v>
      </c>
      <c r="I8" s="17" t="str">
        <f t="shared" si="0"/>
        <v>Descartado</v>
      </c>
    </row>
    <row r="9" spans="1:9" x14ac:dyDescent="0.25">
      <c r="A9" s="41"/>
      <c r="B9" s="37"/>
      <c r="C9" s="38"/>
      <c r="D9" s="39"/>
      <c r="E9" s="40"/>
      <c r="F9" s="40"/>
      <c r="G9" s="32" t="s">
        <v>142</v>
      </c>
      <c r="H9" s="33">
        <v>68</v>
      </c>
      <c r="I9" s="17">
        <f t="shared" si="0"/>
        <v>68</v>
      </c>
    </row>
    <row r="10" spans="1:9" x14ac:dyDescent="0.25">
      <c r="A10" s="41"/>
      <c r="B10" s="37"/>
      <c r="C10" s="38"/>
      <c r="D10" s="39"/>
      <c r="E10" s="40"/>
      <c r="F10" s="40"/>
      <c r="G10" s="32" t="s">
        <v>161</v>
      </c>
      <c r="H10" s="33">
        <v>114.4</v>
      </c>
      <c r="I10" s="17">
        <f t="shared" si="0"/>
        <v>114.4</v>
      </c>
    </row>
    <row r="11" spans="1:9" x14ac:dyDescent="0.25">
      <c r="A11" s="41"/>
      <c r="B11" s="37"/>
      <c r="C11" s="38"/>
      <c r="D11" s="39"/>
      <c r="E11" s="40"/>
      <c r="F11" s="40"/>
      <c r="G11" s="32" t="s">
        <v>162</v>
      </c>
      <c r="H11" s="33">
        <v>80</v>
      </c>
      <c r="I11" s="17">
        <f t="shared" si="0"/>
        <v>80</v>
      </c>
    </row>
    <row r="12" spans="1:9" x14ac:dyDescent="0.25">
      <c r="A12" s="41"/>
      <c r="B12" s="37"/>
      <c r="C12" s="38"/>
      <c r="D12" s="39"/>
      <c r="E12" s="40"/>
      <c r="F12" s="40"/>
      <c r="G12" s="32" t="s">
        <v>163</v>
      </c>
      <c r="H12" s="33">
        <v>59</v>
      </c>
      <c r="I12" s="17">
        <f t="shared" si="0"/>
        <v>59</v>
      </c>
    </row>
    <row r="13" spans="1:9" x14ac:dyDescent="0.25">
      <c r="A13" s="41"/>
      <c r="B13" s="37"/>
      <c r="C13" s="38"/>
      <c r="D13" s="39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37"/>
      <c r="C14" s="38"/>
      <c r="D14" s="39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37"/>
      <c r="C15" s="38"/>
      <c r="D15" s="39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37"/>
      <c r="C16" s="38"/>
      <c r="D16" s="39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37"/>
      <c r="C17" s="38"/>
      <c r="D17" s="39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62.132046660497352</v>
      </c>
      <c r="B20" s="8">
        <f>COUNT(H3:H17)</f>
        <v>10</v>
      </c>
      <c r="C20" s="9">
        <f>IF(B20&lt;2,"n/a",(A20/D20))</f>
        <v>0.56010138520235597</v>
      </c>
      <c r="D20" s="10">
        <f>IFERROR(ROUND(AVERAGE(H3:H17),2),"")</f>
        <v>110.93</v>
      </c>
      <c r="E20" s="15">
        <f>IFERROR(ROUND(IF(B20&lt;2,"n/a",(IF(C20&lt;=25%,"n/a",AVERAGE(I3:I17)))),2),"n/a")</f>
        <v>83.66</v>
      </c>
      <c r="F20" s="10">
        <f>IFERROR(ROUND(MEDIAN(H3:H17),2),"")</f>
        <v>90.45</v>
      </c>
      <c r="G20" s="11" t="str">
        <f>IFERROR(INDEX(G3:G17,MATCH(H20,H3:H17,0)),"")</f>
        <v>PE 78/2023 PERSI HOUSE, COMERCIO</v>
      </c>
      <c r="H20" s="12">
        <f>F3</f>
        <v>58</v>
      </c>
    </row>
    <row r="22" spans="1:9" x14ac:dyDescent="0.25">
      <c r="G22" s="13" t="s">
        <v>20</v>
      </c>
      <c r="H22" s="14">
        <f>IF(C20&lt;=25%,D20,MIN(E20:F20))</f>
        <v>83.66</v>
      </c>
    </row>
    <row r="23" spans="1:9" x14ac:dyDescent="0.25">
      <c r="G23" s="13" t="s">
        <v>6</v>
      </c>
      <c r="H23" s="14">
        <f>ROUND(H22,2)*D3</f>
        <v>142222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1">
        <v>15</v>
      </c>
      <c r="B3" s="43" t="s">
        <v>92</v>
      </c>
      <c r="C3" s="45" t="s">
        <v>7</v>
      </c>
      <c r="D3" s="45"/>
      <c r="E3" s="40">
        <f>IF(C20&lt;=25%,D20,MIN(E20:F20))</f>
        <v>4065.18</v>
      </c>
      <c r="F3" s="40">
        <f>MIN(H3:H17)</f>
        <v>2900</v>
      </c>
      <c r="G3" s="5" t="s">
        <v>93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41"/>
      <c r="B4" s="44"/>
      <c r="C4" s="45"/>
      <c r="D4" s="45"/>
      <c r="E4" s="40"/>
      <c r="F4" s="40"/>
      <c r="G4" s="5" t="s">
        <v>94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41"/>
      <c r="B5" s="44"/>
      <c r="C5" s="45"/>
      <c r="D5" s="45"/>
      <c r="E5" s="40"/>
      <c r="F5" s="40"/>
      <c r="G5" s="5" t="s">
        <v>95</v>
      </c>
      <c r="H5" s="16">
        <v>2987.5</v>
      </c>
      <c r="I5" s="17">
        <f t="shared" si="0"/>
        <v>2987.5</v>
      </c>
    </row>
    <row r="6" spans="1:9" x14ac:dyDescent="0.25">
      <c r="A6" s="41"/>
      <c r="B6" s="44"/>
      <c r="C6" s="45"/>
      <c r="D6" s="45"/>
      <c r="E6" s="40"/>
      <c r="F6" s="40"/>
      <c r="G6" s="5" t="s">
        <v>96</v>
      </c>
      <c r="H6" s="16">
        <v>5366.52</v>
      </c>
      <c r="I6" s="17">
        <f t="shared" si="0"/>
        <v>5366.52</v>
      </c>
    </row>
    <row r="7" spans="1:9" x14ac:dyDescent="0.25">
      <c r="A7" s="41"/>
      <c r="B7" s="44"/>
      <c r="C7" s="45"/>
      <c r="D7" s="45"/>
      <c r="E7" s="40"/>
      <c r="F7" s="40"/>
      <c r="G7" s="5" t="s">
        <v>97</v>
      </c>
      <c r="H7" s="16">
        <v>5847.17</v>
      </c>
      <c r="I7" s="17" t="str">
        <f t="shared" si="0"/>
        <v>Descartado</v>
      </c>
    </row>
    <row r="8" spans="1:9" x14ac:dyDescent="0.25">
      <c r="A8" s="41"/>
      <c r="B8" s="44"/>
      <c r="C8" s="45"/>
      <c r="D8" s="45"/>
      <c r="E8" s="40"/>
      <c r="F8" s="40"/>
      <c r="G8" s="5"/>
      <c r="H8" s="16"/>
      <c r="I8" s="17" t="str">
        <f t="shared" si="0"/>
        <v/>
      </c>
    </row>
    <row r="9" spans="1:9" x14ac:dyDescent="0.25">
      <c r="A9" s="41"/>
      <c r="B9" s="44"/>
      <c r="C9" s="45"/>
      <c r="D9" s="45"/>
      <c r="E9" s="40"/>
      <c r="F9" s="40"/>
      <c r="G9" s="5"/>
      <c r="H9" s="16"/>
      <c r="I9" s="17" t="str">
        <f t="shared" si="0"/>
        <v/>
      </c>
    </row>
    <row r="10" spans="1:9" x14ac:dyDescent="0.25">
      <c r="A10" s="41"/>
      <c r="B10" s="44"/>
      <c r="C10" s="45"/>
      <c r="D10" s="45"/>
      <c r="E10" s="40"/>
      <c r="F10" s="40"/>
      <c r="G10" s="5"/>
      <c r="H10" s="16"/>
      <c r="I10" s="17" t="str">
        <f t="shared" si="0"/>
        <v/>
      </c>
    </row>
    <row r="11" spans="1:9" x14ac:dyDescent="0.25">
      <c r="A11" s="41"/>
      <c r="B11" s="44"/>
      <c r="C11" s="45"/>
      <c r="D11" s="45"/>
      <c r="E11" s="40"/>
      <c r="F11" s="40"/>
      <c r="G11" s="5"/>
      <c r="H11" s="16"/>
      <c r="I11" s="17" t="str">
        <f t="shared" si="0"/>
        <v/>
      </c>
    </row>
    <row r="12" spans="1:9" x14ac:dyDescent="0.25">
      <c r="A12" s="41"/>
      <c r="B12" s="44"/>
      <c r="C12" s="45"/>
      <c r="D12" s="45"/>
      <c r="E12" s="40"/>
      <c r="F12" s="40"/>
      <c r="G12" s="5"/>
      <c r="H12" s="16"/>
      <c r="I12" s="17" t="str">
        <f t="shared" si="0"/>
        <v/>
      </c>
    </row>
    <row r="13" spans="1:9" x14ac:dyDescent="0.25">
      <c r="A13" s="41"/>
      <c r="B13" s="44"/>
      <c r="C13" s="45"/>
      <c r="D13" s="45"/>
      <c r="E13" s="40"/>
      <c r="F13" s="40"/>
      <c r="G13" s="5"/>
      <c r="H13" s="16"/>
      <c r="I13" s="17" t="str">
        <f t="shared" si="0"/>
        <v/>
      </c>
    </row>
    <row r="14" spans="1:9" x14ac:dyDescent="0.25">
      <c r="A14" s="41"/>
      <c r="B14" s="44"/>
      <c r="C14" s="45"/>
      <c r="D14" s="45"/>
      <c r="E14" s="40"/>
      <c r="F14" s="40"/>
      <c r="G14" s="5"/>
      <c r="H14" s="16"/>
      <c r="I14" s="17" t="str">
        <f t="shared" si="0"/>
        <v/>
      </c>
    </row>
    <row r="15" spans="1:9" x14ac:dyDescent="0.25">
      <c r="A15" s="41"/>
      <c r="B15" s="44"/>
      <c r="C15" s="45"/>
      <c r="D15" s="45"/>
      <c r="E15" s="40"/>
      <c r="F15" s="40"/>
      <c r="G15" s="5"/>
      <c r="H15" s="16"/>
      <c r="I15" s="17" t="str">
        <f t="shared" si="0"/>
        <v/>
      </c>
    </row>
    <row r="16" spans="1:9" x14ac:dyDescent="0.25">
      <c r="A16" s="41"/>
      <c r="B16" s="44"/>
      <c r="C16" s="45"/>
      <c r="D16" s="45"/>
      <c r="E16" s="40"/>
      <c r="F16" s="40"/>
      <c r="G16" s="5"/>
      <c r="H16" s="16"/>
      <c r="I16" s="17" t="str">
        <f t="shared" si="0"/>
        <v/>
      </c>
    </row>
    <row r="17" spans="1:9" x14ac:dyDescent="0.25">
      <c r="A17" s="41"/>
      <c r="B17" s="44"/>
      <c r="C17" s="45"/>
      <c r="D17" s="45"/>
      <c r="E17" s="40"/>
      <c r="F17" s="40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5" t="s">
        <v>19</v>
      </c>
      <c r="H19" s="35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2</vt:i4>
      </vt:variant>
    </vt:vector>
  </HeadingPairs>
  <TitlesOfParts>
    <vt:vector size="2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2024-06-12T16:49:51Z</cp:lastPrinted>
  <dcterms:created xsi:type="dcterms:W3CDTF">2023-11-07T17:10:34Z</dcterms:created>
  <dcterms:modified xsi:type="dcterms:W3CDTF">2024-10-15T12:16:56Z</dcterms:modified>
</cp:coreProperties>
</file>